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模板" sheetId="2" r:id="rId1"/>
    <sheet name="长九长十" sheetId="4" r:id="rId2"/>
    <sheet name="国外重型" sheetId="5" r:id="rId3"/>
    <sheet name="长征系列" sheetId="6" r:id="rId4"/>
    <sheet name="国外现役" sheetId="7" r:id="rId5"/>
    <sheet name="国内民营" sheetId="8" r:id="rId6"/>
    <sheet name="国内论文" sheetId="9" r:id="rId7"/>
    <sheet name="空天飞机" sheetId="11" r:id="rId8"/>
    <sheet name="吧友自创" sheetId="10" r:id="rId9"/>
    <sheet name="笔记" sheetId="12" r:id="rId10"/>
  </sheets>
  <calcPr calcId="152511"/>
</workbook>
</file>

<file path=xl/calcChain.xml><?xml version="1.0" encoding="utf-8"?>
<calcChain xmlns="http://schemas.openxmlformats.org/spreadsheetml/2006/main">
  <c r="I8" i="11" l="1"/>
  <c r="I7" i="11"/>
  <c r="I140" i="9"/>
  <c r="I122" i="9"/>
  <c r="I121" i="9"/>
  <c r="I102" i="9"/>
  <c r="I84" i="9"/>
  <c r="I83" i="9"/>
  <c r="I65" i="9"/>
  <c r="I64" i="9"/>
  <c r="Q58" i="9"/>
  <c r="I45" i="9"/>
  <c r="I26" i="9"/>
  <c r="I7" i="9"/>
  <c r="I46" i="8"/>
  <c r="I27" i="8"/>
  <c r="I178" i="6"/>
  <c r="I159" i="6"/>
  <c r="I140" i="6"/>
  <c r="I121" i="6"/>
  <c r="I102" i="6"/>
  <c r="I126" i="4"/>
  <c r="I107" i="4"/>
  <c r="I83" i="4"/>
  <c r="I64" i="4"/>
  <c r="I45" i="4"/>
  <c r="I27" i="4"/>
  <c r="I26" i="4"/>
  <c r="I8" i="4"/>
  <c r="I7" i="4"/>
  <c r="I64" i="5"/>
  <c r="I45" i="5"/>
  <c r="O193" i="8" l="1"/>
  <c r="N193" i="8"/>
  <c r="M193" i="8"/>
  <c r="J193" i="8"/>
  <c r="I193" i="8"/>
  <c r="H193" i="8"/>
  <c r="D193" i="8"/>
  <c r="E193" i="8" s="1"/>
  <c r="O192" i="8"/>
  <c r="N192" i="8"/>
  <c r="M192" i="8"/>
  <c r="J192" i="8"/>
  <c r="I192" i="8"/>
  <c r="H192" i="8"/>
  <c r="P191" i="8"/>
  <c r="O191" i="8"/>
  <c r="N191" i="8"/>
  <c r="M191" i="8"/>
  <c r="L191" i="8"/>
  <c r="J191" i="8"/>
  <c r="I191" i="8"/>
  <c r="H191" i="8"/>
  <c r="G191" i="8"/>
  <c r="E191" i="8"/>
  <c r="D191" i="8"/>
  <c r="J190" i="8"/>
  <c r="O188" i="8"/>
  <c r="N188" i="8"/>
  <c r="M188" i="8"/>
  <c r="L188" i="8"/>
  <c r="J188" i="8"/>
  <c r="I188" i="8"/>
  <c r="H188" i="8"/>
  <c r="G188" i="8"/>
  <c r="D188" i="8"/>
  <c r="E188" i="8" s="1"/>
  <c r="O187" i="8"/>
  <c r="N187" i="8"/>
  <c r="M187" i="8"/>
  <c r="J187" i="8"/>
  <c r="I187" i="8"/>
  <c r="H187" i="8"/>
  <c r="P186" i="8"/>
  <c r="O186" i="8"/>
  <c r="N186" i="8"/>
  <c r="M186" i="8"/>
  <c r="L186" i="8"/>
  <c r="J186" i="8"/>
  <c r="I186" i="8"/>
  <c r="H186" i="8"/>
  <c r="G186" i="8"/>
  <c r="E186" i="8"/>
  <c r="D186" i="8"/>
  <c r="T183" i="8"/>
  <c r="P183" i="8"/>
  <c r="N183" i="8"/>
  <c r="M183" i="8"/>
  <c r="L183" i="8"/>
  <c r="U183" i="8" s="1"/>
  <c r="T182" i="8"/>
  <c r="P182" i="8"/>
  <c r="N182" i="8"/>
  <c r="M182" i="8"/>
  <c r="L182" i="8"/>
  <c r="M181" i="8"/>
  <c r="H190" i="8" s="1"/>
  <c r="L181" i="8"/>
  <c r="U181" i="8" s="1"/>
  <c r="M180" i="8"/>
  <c r="L180" i="8"/>
  <c r="N180" i="8" s="1"/>
  <c r="O180" i="8" s="1"/>
  <c r="M179" i="8"/>
  <c r="N177" i="8" s="1"/>
  <c r="L179" i="8"/>
  <c r="O174" i="8"/>
  <c r="N174" i="8"/>
  <c r="J174" i="8"/>
  <c r="I174" i="8"/>
  <c r="P173" i="8"/>
  <c r="O173" i="8"/>
  <c r="N173" i="8"/>
  <c r="M173" i="8"/>
  <c r="L173" i="8"/>
  <c r="J173" i="8"/>
  <c r="I173" i="8"/>
  <c r="H173" i="8"/>
  <c r="G173" i="8"/>
  <c r="E173" i="8"/>
  <c r="D173" i="8"/>
  <c r="P172" i="8"/>
  <c r="O172" i="8"/>
  <c r="N172" i="8"/>
  <c r="M172" i="8"/>
  <c r="L172" i="8"/>
  <c r="J172" i="8"/>
  <c r="I172" i="8"/>
  <c r="H172" i="8"/>
  <c r="G172" i="8"/>
  <c r="E172" i="8"/>
  <c r="D172" i="8"/>
  <c r="O169" i="8"/>
  <c r="N169" i="8"/>
  <c r="J169" i="8"/>
  <c r="I169" i="8"/>
  <c r="P168" i="8"/>
  <c r="O168" i="8"/>
  <c r="N168" i="8"/>
  <c r="M168" i="8"/>
  <c r="L168" i="8"/>
  <c r="J168" i="8"/>
  <c r="I168" i="8"/>
  <c r="H168" i="8"/>
  <c r="G168" i="8"/>
  <c r="E168" i="8"/>
  <c r="D168" i="8"/>
  <c r="P167" i="8"/>
  <c r="O167" i="8"/>
  <c r="N167" i="8"/>
  <c r="M167" i="8"/>
  <c r="L167" i="8"/>
  <c r="J167" i="8"/>
  <c r="I167" i="8"/>
  <c r="H167" i="8"/>
  <c r="G167" i="8"/>
  <c r="E167" i="8"/>
  <c r="D167" i="8"/>
  <c r="T164" i="8"/>
  <c r="P164" i="8"/>
  <c r="N164" i="8"/>
  <c r="M164" i="8"/>
  <c r="L164" i="8"/>
  <c r="U164" i="8" s="1"/>
  <c r="T163" i="8"/>
  <c r="P163" i="8"/>
  <c r="N163" i="8"/>
  <c r="M163" i="8"/>
  <c r="L163" i="8"/>
  <c r="U163" i="8" s="1"/>
  <c r="M162" i="8"/>
  <c r="L162" i="8"/>
  <c r="M161" i="8"/>
  <c r="L161" i="8"/>
  <c r="T160" i="8"/>
  <c r="P160" i="8"/>
  <c r="N160" i="8"/>
  <c r="M160" i="8"/>
  <c r="L160" i="8"/>
  <c r="N158" i="8"/>
  <c r="K171" i="8" s="1"/>
  <c r="L158" i="8"/>
  <c r="P212" i="10"/>
  <c r="O212" i="10"/>
  <c r="N212" i="10"/>
  <c r="M212" i="10"/>
  <c r="L212" i="10"/>
  <c r="J212" i="10"/>
  <c r="I212" i="10"/>
  <c r="H212" i="10"/>
  <c r="G212" i="10"/>
  <c r="E212" i="10"/>
  <c r="D212" i="10"/>
  <c r="P211" i="10"/>
  <c r="O211" i="10"/>
  <c r="N211" i="10"/>
  <c r="M211" i="10"/>
  <c r="L211" i="10"/>
  <c r="J211" i="10"/>
  <c r="I211" i="10"/>
  <c r="H211" i="10"/>
  <c r="G211" i="10"/>
  <c r="E211" i="10"/>
  <c r="D211" i="10"/>
  <c r="O210" i="10"/>
  <c r="N210" i="10"/>
  <c r="M210" i="10"/>
  <c r="J210" i="10"/>
  <c r="I210" i="10"/>
  <c r="H210" i="10"/>
  <c r="G210" i="10"/>
  <c r="D210" i="10"/>
  <c r="E210" i="10" s="1"/>
  <c r="O209" i="10"/>
  <c r="N209" i="10"/>
  <c r="M209" i="10"/>
  <c r="J209" i="10"/>
  <c r="I209" i="10"/>
  <c r="H209" i="10"/>
  <c r="G209" i="10"/>
  <c r="D209" i="10"/>
  <c r="E209" i="10" s="1"/>
  <c r="P207" i="10"/>
  <c r="O207" i="10"/>
  <c r="N207" i="10"/>
  <c r="M207" i="10"/>
  <c r="L207" i="10"/>
  <c r="J207" i="10"/>
  <c r="I207" i="10"/>
  <c r="H207" i="10"/>
  <c r="G207" i="10"/>
  <c r="E207" i="10"/>
  <c r="D207" i="10"/>
  <c r="P206" i="10"/>
  <c r="O206" i="10"/>
  <c r="N206" i="10"/>
  <c r="M206" i="10"/>
  <c r="L206" i="10"/>
  <c r="J206" i="10"/>
  <c r="I206" i="10"/>
  <c r="H206" i="10"/>
  <c r="G206" i="10"/>
  <c r="E206" i="10"/>
  <c r="D206" i="10"/>
  <c r="O205" i="10"/>
  <c r="N205" i="10"/>
  <c r="M205" i="10"/>
  <c r="L205" i="10"/>
  <c r="J205" i="10"/>
  <c r="I205" i="10"/>
  <c r="H205" i="10"/>
  <c r="G205" i="10"/>
  <c r="D205" i="10"/>
  <c r="E205" i="10" s="1"/>
  <c r="O204" i="10"/>
  <c r="N204" i="10"/>
  <c r="M204" i="10"/>
  <c r="L204" i="10"/>
  <c r="J204" i="10"/>
  <c r="I204" i="10"/>
  <c r="H204" i="10"/>
  <c r="G204" i="10"/>
  <c r="D204" i="10"/>
  <c r="E204" i="10" s="1"/>
  <c r="U202" i="10"/>
  <c r="T202" i="10"/>
  <c r="R202" i="10"/>
  <c r="P202" i="10"/>
  <c r="O202" i="10"/>
  <c r="S202" i="10" s="1"/>
  <c r="V202" i="10" s="1"/>
  <c r="N202" i="10"/>
  <c r="M202" i="10"/>
  <c r="L202" i="10"/>
  <c r="Q202" i="10" s="1"/>
  <c r="M201" i="10"/>
  <c r="L201" i="10"/>
  <c r="U201" i="10" s="1"/>
  <c r="U200" i="10"/>
  <c r="N200" i="10"/>
  <c r="M200" i="10"/>
  <c r="L200" i="10"/>
  <c r="U199" i="10"/>
  <c r="Q199" i="10"/>
  <c r="N199" i="10"/>
  <c r="M199" i="10"/>
  <c r="L199" i="10"/>
  <c r="T198" i="10"/>
  <c r="Q198" i="10"/>
  <c r="P198" i="10"/>
  <c r="N198" i="10"/>
  <c r="M198" i="10"/>
  <c r="L198" i="10"/>
  <c r="U198" i="10" s="1"/>
  <c r="N196" i="10"/>
  <c r="K209" i="10" s="1"/>
  <c r="L196" i="10"/>
  <c r="P193" i="10"/>
  <c r="O193" i="10"/>
  <c r="N193" i="10"/>
  <c r="M193" i="10"/>
  <c r="L193" i="10"/>
  <c r="J193" i="10"/>
  <c r="I193" i="10"/>
  <c r="H193" i="10"/>
  <c r="G193" i="10"/>
  <c r="E193" i="10"/>
  <c r="D193" i="10"/>
  <c r="P192" i="10"/>
  <c r="O192" i="10"/>
  <c r="N192" i="10"/>
  <c r="M192" i="10"/>
  <c r="L192" i="10"/>
  <c r="J192" i="10"/>
  <c r="I192" i="10"/>
  <c r="H192" i="10"/>
  <c r="G192" i="10"/>
  <c r="E192" i="10"/>
  <c r="D192" i="10"/>
  <c r="O191" i="10"/>
  <c r="N191" i="10"/>
  <c r="M191" i="10"/>
  <c r="J191" i="10"/>
  <c r="I191" i="10"/>
  <c r="H191" i="10"/>
  <c r="G191" i="10"/>
  <c r="D191" i="10"/>
  <c r="E191" i="10" s="1"/>
  <c r="O190" i="10"/>
  <c r="N190" i="10"/>
  <c r="M190" i="10"/>
  <c r="J190" i="10"/>
  <c r="I190" i="10"/>
  <c r="H190" i="10"/>
  <c r="G190" i="10"/>
  <c r="D190" i="10"/>
  <c r="E190" i="10" s="1"/>
  <c r="P188" i="10"/>
  <c r="O188" i="10"/>
  <c r="N188" i="10"/>
  <c r="M188" i="10"/>
  <c r="L188" i="10"/>
  <c r="J188" i="10"/>
  <c r="I188" i="10"/>
  <c r="H188" i="10"/>
  <c r="G188" i="10"/>
  <c r="E188" i="10"/>
  <c r="D188" i="10"/>
  <c r="P187" i="10"/>
  <c r="O187" i="10"/>
  <c r="N187" i="10"/>
  <c r="M187" i="10"/>
  <c r="L187" i="10"/>
  <c r="J187" i="10"/>
  <c r="I187" i="10"/>
  <c r="H187" i="10"/>
  <c r="G187" i="10"/>
  <c r="E187" i="10"/>
  <c r="D187" i="10"/>
  <c r="O186" i="10"/>
  <c r="N186" i="10"/>
  <c r="M186" i="10"/>
  <c r="L186" i="10"/>
  <c r="J186" i="10"/>
  <c r="I186" i="10"/>
  <c r="H186" i="10"/>
  <c r="G186" i="10"/>
  <c r="E186" i="10"/>
  <c r="D186" i="10"/>
  <c r="O185" i="10"/>
  <c r="N185" i="10"/>
  <c r="M185" i="10"/>
  <c r="L185" i="10"/>
  <c r="J185" i="10"/>
  <c r="I185" i="10"/>
  <c r="H185" i="10"/>
  <c r="G185" i="10"/>
  <c r="D185" i="10"/>
  <c r="E185" i="10" s="1"/>
  <c r="U183" i="10"/>
  <c r="T183" i="10"/>
  <c r="R183" i="10"/>
  <c r="P183" i="10"/>
  <c r="O183" i="10"/>
  <c r="S183" i="10" s="1"/>
  <c r="V183" i="10" s="1"/>
  <c r="N183" i="10"/>
  <c r="M183" i="10"/>
  <c r="L183" i="10"/>
  <c r="Q183" i="10" s="1"/>
  <c r="R182" i="10" s="1"/>
  <c r="T182" i="10"/>
  <c r="P182" i="10"/>
  <c r="N182" i="10"/>
  <c r="M182" i="10"/>
  <c r="L182" i="10"/>
  <c r="Q182" i="10" s="1"/>
  <c r="U181" i="10"/>
  <c r="N181" i="10"/>
  <c r="M181" i="10"/>
  <c r="L181" i="10"/>
  <c r="Q180" i="10" s="1"/>
  <c r="N180" i="10"/>
  <c r="M180" i="10"/>
  <c r="U180" i="10" s="1"/>
  <c r="L180" i="10"/>
  <c r="T179" i="10"/>
  <c r="P179" i="10"/>
  <c r="N179" i="10"/>
  <c r="M179" i="10"/>
  <c r="L179" i="10"/>
  <c r="N177" i="10"/>
  <c r="K190" i="10" s="1"/>
  <c r="L177" i="10"/>
  <c r="P174" i="10"/>
  <c r="O174" i="10"/>
  <c r="N174" i="10"/>
  <c r="M174" i="10"/>
  <c r="L174" i="10"/>
  <c r="J174" i="10"/>
  <c r="I174" i="10"/>
  <c r="H174" i="10"/>
  <c r="G174" i="10"/>
  <c r="E174" i="10"/>
  <c r="D174" i="10"/>
  <c r="O173" i="10"/>
  <c r="N173" i="10"/>
  <c r="M173" i="10"/>
  <c r="J173" i="10"/>
  <c r="I173" i="10"/>
  <c r="H173" i="10"/>
  <c r="D173" i="10"/>
  <c r="E173" i="10" s="1"/>
  <c r="P172" i="10"/>
  <c r="O172" i="10"/>
  <c r="N172" i="10"/>
  <c r="M172" i="10"/>
  <c r="L172" i="10"/>
  <c r="J172" i="10"/>
  <c r="I172" i="10"/>
  <c r="H172" i="10"/>
  <c r="G172" i="10"/>
  <c r="E172" i="10"/>
  <c r="D172" i="10"/>
  <c r="P171" i="10"/>
  <c r="O171" i="10"/>
  <c r="N171" i="10"/>
  <c r="M171" i="10"/>
  <c r="L171" i="10"/>
  <c r="J171" i="10"/>
  <c r="I171" i="10"/>
  <c r="H171" i="10"/>
  <c r="G171" i="10"/>
  <c r="E171" i="10"/>
  <c r="D171" i="10"/>
  <c r="P169" i="10"/>
  <c r="O169" i="10"/>
  <c r="N169" i="10"/>
  <c r="M169" i="10"/>
  <c r="L169" i="10"/>
  <c r="J169" i="10"/>
  <c r="I169" i="10"/>
  <c r="H169" i="10"/>
  <c r="G169" i="10"/>
  <c r="E169" i="10"/>
  <c r="D169" i="10"/>
  <c r="O168" i="10"/>
  <c r="N168" i="10"/>
  <c r="M168" i="10"/>
  <c r="L168" i="10"/>
  <c r="J168" i="10"/>
  <c r="I168" i="10"/>
  <c r="H168" i="10"/>
  <c r="G168" i="10"/>
  <c r="E168" i="10"/>
  <c r="D168" i="10"/>
  <c r="P167" i="10"/>
  <c r="O167" i="10"/>
  <c r="N167" i="10"/>
  <c r="M167" i="10"/>
  <c r="L167" i="10"/>
  <c r="J167" i="10"/>
  <c r="I167" i="10"/>
  <c r="H167" i="10"/>
  <c r="G167" i="10"/>
  <c r="E167" i="10"/>
  <c r="D167" i="10"/>
  <c r="P166" i="10"/>
  <c r="O166" i="10"/>
  <c r="N166" i="10"/>
  <c r="M166" i="10"/>
  <c r="L166" i="10"/>
  <c r="J166" i="10"/>
  <c r="I166" i="10"/>
  <c r="H166" i="10"/>
  <c r="G166" i="10"/>
  <c r="E166" i="10"/>
  <c r="D166" i="10"/>
  <c r="U164" i="10"/>
  <c r="T164" i="10"/>
  <c r="P164" i="10"/>
  <c r="N164" i="10"/>
  <c r="M164" i="10"/>
  <c r="L164" i="10"/>
  <c r="Q164" i="10" s="1"/>
  <c r="N163" i="10"/>
  <c r="M163" i="10"/>
  <c r="L163" i="10"/>
  <c r="U163" i="10" s="1"/>
  <c r="M162" i="10"/>
  <c r="L162" i="10"/>
  <c r="M161" i="10"/>
  <c r="L161" i="10"/>
  <c r="N161" i="10" s="1"/>
  <c r="O161" i="10" s="1"/>
  <c r="M160" i="10"/>
  <c r="N158" i="10" s="1"/>
  <c r="L160" i="10"/>
  <c r="P155" i="10"/>
  <c r="O155" i="10"/>
  <c r="N155" i="10"/>
  <c r="M155" i="10"/>
  <c r="L155" i="10"/>
  <c r="J155" i="10"/>
  <c r="I155" i="10"/>
  <c r="H155" i="10"/>
  <c r="G155" i="10"/>
  <c r="E155" i="10"/>
  <c r="D155" i="10"/>
  <c r="O154" i="10"/>
  <c r="N154" i="10"/>
  <c r="M154" i="10"/>
  <c r="J154" i="10"/>
  <c r="I154" i="10"/>
  <c r="H154" i="10"/>
  <c r="G154" i="10"/>
  <c r="D154" i="10"/>
  <c r="E154" i="10" s="1"/>
  <c r="P153" i="10"/>
  <c r="O153" i="10"/>
  <c r="N153" i="10"/>
  <c r="M153" i="10"/>
  <c r="L153" i="10"/>
  <c r="J153" i="10"/>
  <c r="I153" i="10"/>
  <c r="H153" i="10"/>
  <c r="G153" i="10"/>
  <c r="E153" i="10"/>
  <c r="D153" i="10"/>
  <c r="P152" i="10"/>
  <c r="O152" i="10"/>
  <c r="N152" i="10"/>
  <c r="M152" i="10"/>
  <c r="L152" i="10"/>
  <c r="J152" i="10"/>
  <c r="I152" i="10"/>
  <c r="H152" i="10"/>
  <c r="G152" i="10"/>
  <c r="E152" i="10"/>
  <c r="D152" i="10"/>
  <c r="P150" i="10"/>
  <c r="O150" i="10"/>
  <c r="N150" i="10"/>
  <c r="M150" i="10"/>
  <c r="L150" i="10"/>
  <c r="J150" i="10"/>
  <c r="I150" i="10"/>
  <c r="H150" i="10"/>
  <c r="G150" i="10"/>
  <c r="E150" i="10"/>
  <c r="D150" i="10"/>
  <c r="O149" i="10"/>
  <c r="N149" i="10"/>
  <c r="M149" i="10"/>
  <c r="L149" i="10"/>
  <c r="J149" i="10"/>
  <c r="I149" i="10"/>
  <c r="H149" i="10"/>
  <c r="G149" i="10"/>
  <c r="D149" i="10"/>
  <c r="E149" i="10" s="1"/>
  <c r="P148" i="10"/>
  <c r="O148" i="10"/>
  <c r="N148" i="10"/>
  <c r="M148" i="10"/>
  <c r="L148" i="10"/>
  <c r="J148" i="10"/>
  <c r="I148" i="10"/>
  <c r="H148" i="10"/>
  <c r="G148" i="10"/>
  <c r="E148" i="10"/>
  <c r="D148" i="10"/>
  <c r="P147" i="10"/>
  <c r="O147" i="10"/>
  <c r="N147" i="10"/>
  <c r="M147" i="10"/>
  <c r="L147" i="10"/>
  <c r="J147" i="10"/>
  <c r="I147" i="10"/>
  <c r="H147" i="10"/>
  <c r="G147" i="10"/>
  <c r="E147" i="10"/>
  <c r="D147" i="10"/>
  <c r="U145" i="10"/>
  <c r="T145" i="10"/>
  <c r="Q145" i="10"/>
  <c r="P145" i="10"/>
  <c r="O145" i="10"/>
  <c r="S145" i="10" s="1"/>
  <c r="V145" i="10" s="1"/>
  <c r="N145" i="10"/>
  <c r="R145" i="10" s="1"/>
  <c r="M145" i="10"/>
  <c r="L145" i="10"/>
  <c r="M144" i="10"/>
  <c r="L144" i="10"/>
  <c r="U144" i="10" s="1"/>
  <c r="Q143" i="10"/>
  <c r="N143" i="10"/>
  <c r="M143" i="10"/>
  <c r="L143" i="10"/>
  <c r="U143" i="10" s="1"/>
  <c r="U142" i="10"/>
  <c r="N142" i="10"/>
  <c r="M142" i="10"/>
  <c r="L142" i="10"/>
  <c r="T141" i="10"/>
  <c r="P141" i="10"/>
  <c r="Q142" i="10" s="1"/>
  <c r="O141" i="10"/>
  <c r="S141" i="10" s="1"/>
  <c r="V141" i="10" s="1"/>
  <c r="N141" i="10"/>
  <c r="M141" i="10"/>
  <c r="L141" i="10"/>
  <c r="Q141" i="10" s="1"/>
  <c r="N139" i="10"/>
  <c r="K152" i="10" s="1"/>
  <c r="L139" i="10"/>
  <c r="P136" i="10"/>
  <c r="O136" i="10"/>
  <c r="N136" i="10"/>
  <c r="M136" i="10"/>
  <c r="L136" i="10"/>
  <c r="J136" i="10"/>
  <c r="I136" i="10"/>
  <c r="H136" i="10"/>
  <c r="G136" i="10"/>
  <c r="E136" i="10"/>
  <c r="D136" i="10"/>
  <c r="O135" i="10"/>
  <c r="N135" i="10"/>
  <c r="M135" i="10"/>
  <c r="J135" i="10"/>
  <c r="I135" i="10"/>
  <c r="H135" i="10"/>
  <c r="G135" i="10"/>
  <c r="D135" i="10"/>
  <c r="E135" i="10" s="1"/>
  <c r="P134" i="10"/>
  <c r="O134" i="10"/>
  <c r="N134" i="10"/>
  <c r="M134" i="10"/>
  <c r="L134" i="10"/>
  <c r="J134" i="10"/>
  <c r="I134" i="10"/>
  <c r="H134" i="10"/>
  <c r="G134" i="10"/>
  <c r="E134" i="10"/>
  <c r="D134" i="10"/>
  <c r="P133" i="10"/>
  <c r="O133" i="10"/>
  <c r="N133" i="10"/>
  <c r="M133" i="10"/>
  <c r="L133" i="10"/>
  <c r="J133" i="10"/>
  <c r="I133" i="10"/>
  <c r="H133" i="10"/>
  <c r="G133" i="10"/>
  <c r="E133" i="10"/>
  <c r="D133" i="10"/>
  <c r="P131" i="10"/>
  <c r="O131" i="10"/>
  <c r="N131" i="10"/>
  <c r="M131" i="10"/>
  <c r="L131" i="10"/>
  <c r="J131" i="10"/>
  <c r="I131" i="10"/>
  <c r="H131" i="10"/>
  <c r="G131" i="10"/>
  <c r="E131" i="10"/>
  <c r="D131" i="10"/>
  <c r="O130" i="10"/>
  <c r="N130" i="10"/>
  <c r="M130" i="10"/>
  <c r="L130" i="10"/>
  <c r="J130" i="10"/>
  <c r="I130" i="10"/>
  <c r="H130" i="10"/>
  <c r="G130" i="10"/>
  <c r="D130" i="10"/>
  <c r="E130" i="10" s="1"/>
  <c r="P129" i="10"/>
  <c r="O129" i="10"/>
  <c r="N129" i="10"/>
  <c r="M129" i="10"/>
  <c r="L129" i="10"/>
  <c r="J129" i="10"/>
  <c r="I129" i="10"/>
  <c r="H129" i="10"/>
  <c r="G129" i="10"/>
  <c r="E129" i="10"/>
  <c r="D129" i="10"/>
  <c r="P128" i="10"/>
  <c r="O128" i="10"/>
  <c r="N128" i="10"/>
  <c r="M128" i="10"/>
  <c r="L128" i="10"/>
  <c r="J128" i="10"/>
  <c r="I128" i="10"/>
  <c r="H128" i="10"/>
  <c r="G128" i="10"/>
  <c r="E128" i="10"/>
  <c r="D128" i="10"/>
  <c r="U126" i="10"/>
  <c r="T126" i="10"/>
  <c r="Q126" i="10"/>
  <c r="P126" i="10"/>
  <c r="O126" i="10"/>
  <c r="S126" i="10" s="1"/>
  <c r="V126" i="10" s="1"/>
  <c r="N126" i="10"/>
  <c r="R126" i="10" s="1"/>
  <c r="M126" i="10"/>
  <c r="L126" i="10"/>
  <c r="M125" i="10"/>
  <c r="L125" i="10"/>
  <c r="Q125" i="10" s="1"/>
  <c r="M124" i="10"/>
  <c r="L124" i="10"/>
  <c r="U123" i="10" s="1"/>
  <c r="N123" i="10"/>
  <c r="M123" i="10"/>
  <c r="L123" i="10"/>
  <c r="T122" i="10"/>
  <c r="P122" i="10"/>
  <c r="N122" i="10"/>
  <c r="M122" i="10"/>
  <c r="L122" i="10"/>
  <c r="N120" i="10"/>
  <c r="K133" i="10" s="1"/>
  <c r="L120" i="10"/>
  <c r="P117" i="10"/>
  <c r="O117" i="10"/>
  <c r="N117" i="10"/>
  <c r="M117" i="10"/>
  <c r="L117" i="10"/>
  <c r="J117" i="10"/>
  <c r="I117" i="10"/>
  <c r="H117" i="10"/>
  <c r="G117" i="10"/>
  <c r="E117" i="10"/>
  <c r="D117" i="10"/>
  <c r="O116" i="10"/>
  <c r="N116" i="10"/>
  <c r="M116" i="10"/>
  <c r="J116" i="10"/>
  <c r="I116" i="10"/>
  <c r="H116" i="10"/>
  <c r="G116" i="10"/>
  <c r="D116" i="10"/>
  <c r="E116" i="10" s="1"/>
  <c r="P115" i="10"/>
  <c r="O115" i="10"/>
  <c r="N115" i="10"/>
  <c r="M115" i="10"/>
  <c r="L115" i="10"/>
  <c r="J115" i="10"/>
  <c r="I115" i="10"/>
  <c r="H115" i="10"/>
  <c r="G115" i="10"/>
  <c r="E115" i="10"/>
  <c r="D115" i="10"/>
  <c r="O114" i="10"/>
  <c r="N114" i="10"/>
  <c r="M114" i="10"/>
  <c r="J114" i="10"/>
  <c r="I114" i="10"/>
  <c r="H114" i="10"/>
  <c r="G114" i="10"/>
  <c r="D114" i="10"/>
  <c r="E114" i="10" s="1"/>
  <c r="P112" i="10"/>
  <c r="O112" i="10"/>
  <c r="N112" i="10"/>
  <c r="M112" i="10"/>
  <c r="L112" i="10"/>
  <c r="J112" i="10"/>
  <c r="I112" i="10"/>
  <c r="H112" i="10"/>
  <c r="G112" i="10"/>
  <c r="E112" i="10"/>
  <c r="D112" i="10"/>
  <c r="O111" i="10"/>
  <c r="N111" i="10"/>
  <c r="M111" i="10"/>
  <c r="L111" i="10"/>
  <c r="J111" i="10"/>
  <c r="I111" i="10"/>
  <c r="H111" i="10"/>
  <c r="G111" i="10"/>
  <c r="D111" i="10"/>
  <c r="E111" i="10" s="1"/>
  <c r="P110" i="10"/>
  <c r="O110" i="10"/>
  <c r="N110" i="10"/>
  <c r="M110" i="10"/>
  <c r="L110" i="10"/>
  <c r="J110" i="10"/>
  <c r="I110" i="10"/>
  <c r="H110" i="10"/>
  <c r="G110" i="10"/>
  <c r="E110" i="10"/>
  <c r="D110" i="10"/>
  <c r="O109" i="10"/>
  <c r="N109" i="10"/>
  <c r="M109" i="10"/>
  <c r="L109" i="10"/>
  <c r="J109" i="10"/>
  <c r="I109" i="10"/>
  <c r="H109" i="10"/>
  <c r="G109" i="10"/>
  <c r="D109" i="10"/>
  <c r="E109" i="10" s="1"/>
  <c r="T107" i="10"/>
  <c r="P107" i="10"/>
  <c r="O107" i="10"/>
  <c r="N107" i="10"/>
  <c r="S107" i="10" s="1"/>
  <c r="V107" i="10" s="1"/>
  <c r="M107" i="10"/>
  <c r="L107" i="10"/>
  <c r="U107" i="10" s="1"/>
  <c r="M106" i="10"/>
  <c r="L106" i="10"/>
  <c r="U106" i="10" s="1"/>
  <c r="U105" i="10"/>
  <c r="N105" i="10"/>
  <c r="M105" i="10"/>
  <c r="L105" i="10"/>
  <c r="Q104" i="10"/>
  <c r="M104" i="10"/>
  <c r="L104" i="10"/>
  <c r="N104" i="10" s="1"/>
  <c r="O104" i="10" s="1"/>
  <c r="T103" i="10"/>
  <c r="U104" i="10" s="1"/>
  <c r="P103" i="10"/>
  <c r="N103" i="10"/>
  <c r="M103" i="10"/>
  <c r="L103" i="10"/>
  <c r="N101" i="10"/>
  <c r="K114" i="10" s="1"/>
  <c r="L101" i="10"/>
  <c r="P98" i="10"/>
  <c r="O98" i="10"/>
  <c r="N98" i="10"/>
  <c r="M98" i="10"/>
  <c r="L98" i="10"/>
  <c r="J98" i="10"/>
  <c r="I98" i="10"/>
  <c r="H98" i="10"/>
  <c r="G98" i="10"/>
  <c r="E98" i="10"/>
  <c r="D98" i="10"/>
  <c r="P97" i="10"/>
  <c r="O97" i="10"/>
  <c r="N97" i="10"/>
  <c r="M97" i="10"/>
  <c r="L97" i="10"/>
  <c r="J97" i="10"/>
  <c r="I97" i="10"/>
  <c r="H97" i="10"/>
  <c r="G97" i="10"/>
  <c r="E97" i="10"/>
  <c r="D97" i="10"/>
  <c r="P96" i="10"/>
  <c r="O96" i="10"/>
  <c r="N96" i="10"/>
  <c r="M96" i="10"/>
  <c r="L96" i="10"/>
  <c r="J96" i="10"/>
  <c r="I96" i="10"/>
  <c r="H96" i="10"/>
  <c r="G96" i="10"/>
  <c r="E96" i="10"/>
  <c r="D96" i="10"/>
  <c r="O95" i="10"/>
  <c r="N95" i="10"/>
  <c r="M95" i="10"/>
  <c r="J95" i="10"/>
  <c r="I95" i="10"/>
  <c r="H95" i="10"/>
  <c r="D95" i="10"/>
  <c r="E95" i="10" s="1"/>
  <c r="P93" i="10"/>
  <c r="O93" i="10"/>
  <c r="N93" i="10"/>
  <c r="M93" i="10"/>
  <c r="L93" i="10"/>
  <c r="J93" i="10"/>
  <c r="I93" i="10"/>
  <c r="H93" i="10"/>
  <c r="G93" i="10"/>
  <c r="E93" i="10"/>
  <c r="D93" i="10"/>
  <c r="P92" i="10"/>
  <c r="O92" i="10"/>
  <c r="N92" i="10"/>
  <c r="M92" i="10"/>
  <c r="L92" i="10"/>
  <c r="J92" i="10"/>
  <c r="I92" i="10"/>
  <c r="H92" i="10"/>
  <c r="G92" i="10"/>
  <c r="E92" i="10"/>
  <c r="D92" i="10"/>
  <c r="P91" i="10"/>
  <c r="O91" i="10"/>
  <c r="N91" i="10"/>
  <c r="M91" i="10"/>
  <c r="L91" i="10"/>
  <c r="J91" i="10"/>
  <c r="I91" i="10"/>
  <c r="H91" i="10"/>
  <c r="G91" i="10"/>
  <c r="E91" i="10"/>
  <c r="D91" i="10"/>
  <c r="O90" i="10"/>
  <c r="N90" i="10"/>
  <c r="M90" i="10"/>
  <c r="L90" i="10"/>
  <c r="J90" i="10"/>
  <c r="I90" i="10"/>
  <c r="H90" i="10"/>
  <c r="G90" i="10"/>
  <c r="E90" i="10"/>
  <c r="D90" i="10"/>
  <c r="T88" i="10"/>
  <c r="Q88" i="10"/>
  <c r="P88" i="10"/>
  <c r="O88" i="10"/>
  <c r="S88" i="10" s="1"/>
  <c r="V88" i="10" s="1"/>
  <c r="N88" i="10"/>
  <c r="R88" i="10" s="1"/>
  <c r="M88" i="10"/>
  <c r="L88" i="10"/>
  <c r="U88" i="10" s="1"/>
  <c r="T87" i="10"/>
  <c r="R87" i="10"/>
  <c r="P87" i="10"/>
  <c r="N87" i="10"/>
  <c r="M87" i="10"/>
  <c r="L87" i="10"/>
  <c r="Q87" i="10" s="1"/>
  <c r="U86" i="10"/>
  <c r="N86" i="10"/>
  <c r="M86" i="10"/>
  <c r="L86" i="10"/>
  <c r="N85" i="10"/>
  <c r="M85" i="10"/>
  <c r="N82" i="10" s="1"/>
  <c r="L85" i="10"/>
  <c r="M84" i="10"/>
  <c r="L84" i="10"/>
  <c r="Q84" i="10" s="1"/>
  <c r="L82" i="10"/>
  <c r="P79" i="10"/>
  <c r="O79" i="10"/>
  <c r="N79" i="10"/>
  <c r="M79" i="10"/>
  <c r="L79" i="10"/>
  <c r="J79" i="10"/>
  <c r="I79" i="10"/>
  <c r="H79" i="10"/>
  <c r="G79" i="10"/>
  <c r="E79" i="10"/>
  <c r="D79" i="10"/>
  <c r="O78" i="10"/>
  <c r="N78" i="10"/>
  <c r="M78" i="10"/>
  <c r="J78" i="10"/>
  <c r="I78" i="10"/>
  <c r="H78" i="10"/>
  <c r="D78" i="10"/>
  <c r="E78" i="10" s="1"/>
  <c r="O77" i="10"/>
  <c r="N77" i="10"/>
  <c r="M77" i="10"/>
  <c r="J77" i="10"/>
  <c r="I77" i="10"/>
  <c r="H77" i="10"/>
  <c r="E77" i="10"/>
  <c r="D77" i="10"/>
  <c r="O76" i="10"/>
  <c r="N76" i="10"/>
  <c r="M76" i="10"/>
  <c r="J76" i="10"/>
  <c r="I76" i="10"/>
  <c r="H76" i="10"/>
  <c r="D76" i="10"/>
  <c r="E76" i="10" s="1"/>
  <c r="P74" i="10"/>
  <c r="O74" i="10"/>
  <c r="N74" i="10"/>
  <c r="M74" i="10"/>
  <c r="L74" i="10"/>
  <c r="J74" i="10"/>
  <c r="I74" i="10"/>
  <c r="H74" i="10"/>
  <c r="G74" i="10"/>
  <c r="E74" i="10"/>
  <c r="D74" i="10"/>
  <c r="O73" i="10"/>
  <c r="N73" i="10"/>
  <c r="M73" i="10"/>
  <c r="L73" i="10"/>
  <c r="J73" i="10"/>
  <c r="I73" i="10"/>
  <c r="H73" i="10"/>
  <c r="G73" i="10"/>
  <c r="D73" i="10"/>
  <c r="E73" i="10" s="1"/>
  <c r="O72" i="10"/>
  <c r="N72" i="10"/>
  <c r="M72" i="10"/>
  <c r="L72" i="10"/>
  <c r="J72" i="10"/>
  <c r="I72" i="10"/>
  <c r="H72" i="10"/>
  <c r="G72" i="10"/>
  <c r="E72" i="10"/>
  <c r="D72" i="10"/>
  <c r="O71" i="10"/>
  <c r="N71" i="10"/>
  <c r="M71" i="10"/>
  <c r="L71" i="10"/>
  <c r="J71" i="10"/>
  <c r="I71" i="10"/>
  <c r="H71" i="10"/>
  <c r="G71" i="10"/>
  <c r="D71" i="10"/>
  <c r="E71" i="10" s="1"/>
  <c r="U69" i="10"/>
  <c r="T69" i="10"/>
  <c r="P69" i="10"/>
  <c r="O69" i="10"/>
  <c r="S69" i="10" s="1"/>
  <c r="V69" i="10" s="1"/>
  <c r="N69" i="10"/>
  <c r="R69" i="10" s="1"/>
  <c r="M69" i="10"/>
  <c r="L69" i="10"/>
  <c r="Q69" i="10" s="1"/>
  <c r="R68" i="10" s="1"/>
  <c r="U68" i="10"/>
  <c r="Q68" i="10"/>
  <c r="N68" i="10"/>
  <c r="M68" i="10"/>
  <c r="L68" i="10"/>
  <c r="U67" i="10"/>
  <c r="N67" i="10"/>
  <c r="R67" i="10" s="1"/>
  <c r="M67" i="10"/>
  <c r="L67" i="10"/>
  <c r="N66" i="10"/>
  <c r="M66" i="10"/>
  <c r="L66" i="10"/>
  <c r="Q65" i="10"/>
  <c r="N65" i="10"/>
  <c r="M65" i="10"/>
  <c r="N63" i="10" s="1"/>
  <c r="L65" i="10"/>
  <c r="U65" i="10" s="1"/>
  <c r="P60" i="10"/>
  <c r="O60" i="10"/>
  <c r="N60" i="10"/>
  <c r="M60" i="10"/>
  <c r="L60" i="10"/>
  <c r="J60" i="10"/>
  <c r="I60" i="10"/>
  <c r="H60" i="10"/>
  <c r="G60" i="10"/>
  <c r="E60" i="10"/>
  <c r="D60" i="10"/>
  <c r="O59" i="10"/>
  <c r="N59" i="10"/>
  <c r="M59" i="10"/>
  <c r="J59" i="10"/>
  <c r="I59" i="10"/>
  <c r="H59" i="10"/>
  <c r="G59" i="10"/>
  <c r="D59" i="10"/>
  <c r="E59" i="10" s="1"/>
  <c r="P58" i="10"/>
  <c r="O58" i="10"/>
  <c r="N58" i="10"/>
  <c r="M58" i="10"/>
  <c r="L58" i="10"/>
  <c r="J58" i="10"/>
  <c r="I58" i="10"/>
  <c r="H58" i="10"/>
  <c r="G58" i="10"/>
  <c r="E58" i="10"/>
  <c r="D58" i="10"/>
  <c r="P57" i="10"/>
  <c r="O57" i="10"/>
  <c r="N57" i="10"/>
  <c r="M57" i="10"/>
  <c r="L57" i="10"/>
  <c r="K57" i="10"/>
  <c r="J57" i="10"/>
  <c r="I57" i="10"/>
  <c r="H57" i="10"/>
  <c r="G57" i="10"/>
  <c r="E57" i="10"/>
  <c r="D57" i="10"/>
  <c r="P55" i="10"/>
  <c r="O55" i="10"/>
  <c r="N55" i="10"/>
  <c r="M55" i="10"/>
  <c r="L55" i="10"/>
  <c r="J55" i="10"/>
  <c r="I55" i="10"/>
  <c r="H55" i="10"/>
  <c r="G55" i="10"/>
  <c r="E55" i="10"/>
  <c r="D55" i="10"/>
  <c r="O54" i="10"/>
  <c r="N54" i="10"/>
  <c r="M54" i="10"/>
  <c r="L54" i="10"/>
  <c r="J54" i="10"/>
  <c r="I54" i="10"/>
  <c r="H54" i="10"/>
  <c r="G54" i="10"/>
  <c r="D54" i="10"/>
  <c r="E54" i="10" s="1"/>
  <c r="P53" i="10"/>
  <c r="O53" i="10"/>
  <c r="N53" i="10"/>
  <c r="M53" i="10"/>
  <c r="L53" i="10"/>
  <c r="J53" i="10"/>
  <c r="I53" i="10"/>
  <c r="H53" i="10"/>
  <c r="G53" i="10"/>
  <c r="E53" i="10"/>
  <c r="D53" i="10"/>
  <c r="P52" i="10"/>
  <c r="O52" i="10"/>
  <c r="N52" i="10"/>
  <c r="M52" i="10"/>
  <c r="L52" i="10"/>
  <c r="J52" i="10"/>
  <c r="I52" i="10"/>
  <c r="H52" i="10"/>
  <c r="G52" i="10"/>
  <c r="E52" i="10"/>
  <c r="D52" i="10"/>
  <c r="T50" i="10"/>
  <c r="Q50" i="10"/>
  <c r="P50" i="10"/>
  <c r="N50" i="10"/>
  <c r="M50" i="10"/>
  <c r="L50" i="10"/>
  <c r="U50" i="10" s="1"/>
  <c r="M49" i="10"/>
  <c r="L49" i="10"/>
  <c r="Q49" i="10" s="1"/>
  <c r="N48" i="10"/>
  <c r="M48" i="10"/>
  <c r="L48" i="10"/>
  <c r="Q47" i="10"/>
  <c r="R46" i="10" s="1"/>
  <c r="M47" i="10"/>
  <c r="L47" i="10"/>
  <c r="T46" i="10"/>
  <c r="P46" i="10"/>
  <c r="N46" i="10"/>
  <c r="M46" i="10"/>
  <c r="L46" i="10"/>
  <c r="N44" i="10"/>
  <c r="F59" i="10" s="1"/>
  <c r="T59" i="10" s="1"/>
  <c r="L44" i="10"/>
  <c r="P41" i="10"/>
  <c r="O41" i="10"/>
  <c r="N41" i="10"/>
  <c r="M41" i="10"/>
  <c r="L41" i="10"/>
  <c r="J41" i="10"/>
  <c r="I41" i="10"/>
  <c r="H41" i="10"/>
  <c r="G41" i="10"/>
  <c r="E41" i="10"/>
  <c r="D41" i="10"/>
  <c r="P40" i="10"/>
  <c r="O40" i="10"/>
  <c r="N40" i="10"/>
  <c r="M40" i="10"/>
  <c r="L40" i="10"/>
  <c r="J40" i="10"/>
  <c r="I40" i="10"/>
  <c r="H40" i="10"/>
  <c r="G40" i="10"/>
  <c r="E40" i="10"/>
  <c r="D40" i="10"/>
  <c r="P39" i="10"/>
  <c r="O39" i="10"/>
  <c r="N39" i="10"/>
  <c r="M39" i="10"/>
  <c r="L39" i="10"/>
  <c r="J39" i="10"/>
  <c r="I39" i="10"/>
  <c r="H39" i="10"/>
  <c r="G39" i="10"/>
  <c r="E39" i="10"/>
  <c r="D39" i="10"/>
  <c r="O38" i="10"/>
  <c r="N38" i="10"/>
  <c r="M38" i="10"/>
  <c r="J38" i="10"/>
  <c r="I38" i="10"/>
  <c r="H38" i="10"/>
  <c r="G38" i="10"/>
  <c r="D38" i="10"/>
  <c r="E38" i="10" s="1"/>
  <c r="P36" i="10"/>
  <c r="O36" i="10"/>
  <c r="N36" i="10"/>
  <c r="M36" i="10"/>
  <c r="L36" i="10"/>
  <c r="J36" i="10"/>
  <c r="I36" i="10"/>
  <c r="H36" i="10"/>
  <c r="G36" i="10"/>
  <c r="E36" i="10"/>
  <c r="D36" i="10"/>
  <c r="P35" i="10"/>
  <c r="O35" i="10"/>
  <c r="N35" i="10"/>
  <c r="M35" i="10"/>
  <c r="L35" i="10"/>
  <c r="J35" i="10"/>
  <c r="I35" i="10"/>
  <c r="H35" i="10"/>
  <c r="G35" i="10"/>
  <c r="E35" i="10"/>
  <c r="D35" i="10"/>
  <c r="P34" i="10"/>
  <c r="O34" i="10"/>
  <c r="N34" i="10"/>
  <c r="M34" i="10"/>
  <c r="L34" i="10"/>
  <c r="J34" i="10"/>
  <c r="I34" i="10"/>
  <c r="H34" i="10"/>
  <c r="G34" i="10"/>
  <c r="E34" i="10"/>
  <c r="D34" i="10"/>
  <c r="O33" i="10"/>
  <c r="N33" i="10"/>
  <c r="M33" i="10"/>
  <c r="L33" i="10"/>
  <c r="J33" i="10"/>
  <c r="I33" i="10"/>
  <c r="H33" i="10"/>
  <c r="G33" i="10"/>
  <c r="D33" i="10"/>
  <c r="E33" i="10" s="1"/>
  <c r="T31" i="10"/>
  <c r="Q31" i="10"/>
  <c r="P31" i="10"/>
  <c r="O31" i="10"/>
  <c r="N31" i="10"/>
  <c r="S31" i="10" s="1"/>
  <c r="V31" i="10" s="1"/>
  <c r="M31" i="10"/>
  <c r="L31" i="10"/>
  <c r="U31" i="10" s="1"/>
  <c r="T30" i="10"/>
  <c r="P30" i="10"/>
  <c r="N30" i="10"/>
  <c r="R30" i="10" s="1"/>
  <c r="M30" i="10"/>
  <c r="L30" i="10"/>
  <c r="O30" i="10" s="1"/>
  <c r="U29" i="10"/>
  <c r="N29" i="10"/>
  <c r="M29" i="10"/>
  <c r="L29" i="10"/>
  <c r="Q29" i="10" s="1"/>
  <c r="N28" i="10"/>
  <c r="O28" i="10" s="1"/>
  <c r="M28" i="10"/>
  <c r="L28" i="10"/>
  <c r="U28" i="10" s="1"/>
  <c r="T27" i="10"/>
  <c r="P27" i="10"/>
  <c r="Q28" i="10" s="1"/>
  <c r="N27" i="10"/>
  <c r="M27" i="10"/>
  <c r="L27" i="10"/>
  <c r="Q27" i="10" s="1"/>
  <c r="N25" i="10"/>
  <c r="K38" i="10" s="1"/>
  <c r="L25" i="10"/>
  <c r="P22" i="10"/>
  <c r="O22" i="10"/>
  <c r="N22" i="10"/>
  <c r="M22" i="10"/>
  <c r="L22" i="10"/>
  <c r="J22" i="10"/>
  <c r="I22" i="10"/>
  <c r="H22" i="10"/>
  <c r="G22" i="10"/>
  <c r="E22" i="10"/>
  <c r="D22" i="10"/>
  <c r="O21" i="10"/>
  <c r="N21" i="10"/>
  <c r="M21" i="10"/>
  <c r="J21" i="10"/>
  <c r="I21" i="10"/>
  <c r="H21" i="10"/>
  <c r="G21" i="10"/>
  <c r="D21" i="10"/>
  <c r="E21" i="10" s="1"/>
  <c r="O20" i="10"/>
  <c r="N20" i="10"/>
  <c r="M20" i="10"/>
  <c r="J20" i="10"/>
  <c r="I20" i="10"/>
  <c r="H20" i="10"/>
  <c r="G20" i="10"/>
  <c r="D20" i="10"/>
  <c r="E20" i="10" s="1"/>
  <c r="O19" i="10"/>
  <c r="N19" i="10"/>
  <c r="M19" i="10"/>
  <c r="J19" i="10"/>
  <c r="I19" i="10"/>
  <c r="H19" i="10"/>
  <c r="G19" i="10"/>
  <c r="D19" i="10"/>
  <c r="E19" i="10" s="1"/>
  <c r="P17" i="10"/>
  <c r="O17" i="10"/>
  <c r="N17" i="10"/>
  <c r="M17" i="10"/>
  <c r="L17" i="10"/>
  <c r="J17" i="10"/>
  <c r="I17" i="10"/>
  <c r="H17" i="10"/>
  <c r="G17" i="10"/>
  <c r="E17" i="10"/>
  <c r="D17" i="10"/>
  <c r="O16" i="10"/>
  <c r="N16" i="10"/>
  <c r="M16" i="10"/>
  <c r="L16" i="10"/>
  <c r="J16" i="10"/>
  <c r="I16" i="10"/>
  <c r="H16" i="10"/>
  <c r="G16" i="10"/>
  <c r="D16" i="10"/>
  <c r="E16" i="10" s="1"/>
  <c r="O15" i="10"/>
  <c r="N15" i="10"/>
  <c r="M15" i="10"/>
  <c r="L15" i="10"/>
  <c r="J15" i="10"/>
  <c r="I15" i="10"/>
  <c r="H15" i="10"/>
  <c r="G15" i="10"/>
  <c r="E15" i="10"/>
  <c r="D15" i="10"/>
  <c r="O14" i="10"/>
  <c r="N14" i="10"/>
  <c r="M14" i="10"/>
  <c r="L14" i="10"/>
  <c r="J14" i="10"/>
  <c r="I14" i="10"/>
  <c r="H14" i="10"/>
  <c r="G14" i="10"/>
  <c r="F14" i="10"/>
  <c r="T14" i="10" s="1"/>
  <c r="E14" i="10"/>
  <c r="D14" i="10"/>
  <c r="U12" i="10"/>
  <c r="T12" i="10"/>
  <c r="S12" i="10"/>
  <c r="V12" i="10" s="1"/>
  <c r="R12" i="10"/>
  <c r="Q12" i="10"/>
  <c r="P12" i="10"/>
  <c r="O12" i="10"/>
  <c r="N12" i="10"/>
  <c r="M12" i="10"/>
  <c r="L12" i="10"/>
  <c r="N11" i="10"/>
  <c r="R11" i="10" s="1"/>
  <c r="M11" i="10"/>
  <c r="L11" i="10"/>
  <c r="Q11" i="10" s="1"/>
  <c r="N10" i="10"/>
  <c r="M10" i="10"/>
  <c r="L10" i="10"/>
  <c r="Q10" i="10" s="1"/>
  <c r="R9" i="10" s="1"/>
  <c r="U9" i="10"/>
  <c r="N9" i="10"/>
  <c r="M9" i="10"/>
  <c r="L6" i="10" s="1"/>
  <c r="L9" i="10"/>
  <c r="T8" i="10"/>
  <c r="P8" i="10"/>
  <c r="Q9" i="10" s="1"/>
  <c r="N8" i="10"/>
  <c r="M8" i="10"/>
  <c r="L8" i="10"/>
  <c r="Q8" i="10" s="1"/>
  <c r="N6" i="10"/>
  <c r="K19" i="10" s="1"/>
  <c r="P98" i="11"/>
  <c r="O98" i="11"/>
  <c r="N98" i="11"/>
  <c r="M98" i="11"/>
  <c r="L98" i="11"/>
  <c r="K98" i="11"/>
  <c r="J98" i="11"/>
  <c r="I98" i="11"/>
  <c r="H98" i="11"/>
  <c r="G98" i="11"/>
  <c r="E98" i="11"/>
  <c r="D98" i="11"/>
  <c r="P97" i="11"/>
  <c r="O97" i="11"/>
  <c r="N97" i="11"/>
  <c r="M97" i="11"/>
  <c r="L97" i="11"/>
  <c r="J97" i="11"/>
  <c r="I97" i="11"/>
  <c r="H97" i="11"/>
  <c r="G97" i="11"/>
  <c r="E97" i="11"/>
  <c r="D97" i="11"/>
  <c r="P96" i="11"/>
  <c r="O96" i="11"/>
  <c r="N96" i="11"/>
  <c r="M96" i="11"/>
  <c r="L96" i="11"/>
  <c r="J96" i="11"/>
  <c r="I96" i="11"/>
  <c r="H96" i="11"/>
  <c r="G96" i="11"/>
  <c r="E96" i="11"/>
  <c r="D96" i="11"/>
  <c r="P95" i="11"/>
  <c r="O95" i="11"/>
  <c r="N95" i="11"/>
  <c r="M95" i="11"/>
  <c r="L95" i="11"/>
  <c r="J95" i="11"/>
  <c r="I95" i="11"/>
  <c r="H95" i="11"/>
  <c r="G95" i="11"/>
  <c r="E95" i="11"/>
  <c r="D95" i="11"/>
  <c r="P93" i="11"/>
  <c r="O93" i="11"/>
  <c r="N93" i="11"/>
  <c r="M93" i="11"/>
  <c r="L93" i="11"/>
  <c r="K93" i="11"/>
  <c r="J93" i="11"/>
  <c r="I93" i="11"/>
  <c r="H93" i="11"/>
  <c r="G93" i="11"/>
  <c r="E93" i="11"/>
  <c r="D93" i="11"/>
  <c r="P92" i="11"/>
  <c r="O92" i="11"/>
  <c r="N92" i="11"/>
  <c r="M92" i="11"/>
  <c r="L92" i="11"/>
  <c r="J92" i="11"/>
  <c r="I92" i="11"/>
  <c r="H92" i="11"/>
  <c r="G92" i="11"/>
  <c r="E92" i="11"/>
  <c r="D92" i="11"/>
  <c r="P91" i="11"/>
  <c r="O91" i="11"/>
  <c r="N91" i="11"/>
  <c r="M91" i="11"/>
  <c r="L91" i="11"/>
  <c r="J91" i="11"/>
  <c r="I91" i="11"/>
  <c r="H91" i="11"/>
  <c r="G91" i="11"/>
  <c r="E91" i="11"/>
  <c r="D91" i="11"/>
  <c r="O90" i="11"/>
  <c r="N90" i="11"/>
  <c r="M90" i="11"/>
  <c r="L90" i="11"/>
  <c r="J90" i="11"/>
  <c r="I90" i="11"/>
  <c r="H90" i="11"/>
  <c r="G90" i="11"/>
  <c r="D90" i="11"/>
  <c r="E90" i="11" s="1"/>
  <c r="U88" i="11"/>
  <c r="T88" i="11"/>
  <c r="S88" i="11"/>
  <c r="V88" i="11" s="1"/>
  <c r="R88" i="11"/>
  <c r="Q88" i="11"/>
  <c r="P88" i="11"/>
  <c r="O88" i="11"/>
  <c r="N88" i="11"/>
  <c r="M88" i="11"/>
  <c r="L88" i="11"/>
  <c r="T87" i="11"/>
  <c r="P87" i="11"/>
  <c r="N87" i="11"/>
  <c r="R87" i="11" s="1"/>
  <c r="M87" i="11"/>
  <c r="L87" i="11"/>
  <c r="Q87" i="11" s="1"/>
  <c r="M86" i="11"/>
  <c r="L86" i="11"/>
  <c r="U86" i="11" s="1"/>
  <c r="M85" i="11"/>
  <c r="L85" i="11"/>
  <c r="U85" i="11" s="1"/>
  <c r="T84" i="11"/>
  <c r="P84" i="11"/>
  <c r="N84" i="11"/>
  <c r="M84" i="11"/>
  <c r="L84" i="11"/>
  <c r="N82" i="11"/>
  <c r="K95" i="11" s="1"/>
  <c r="L82" i="11"/>
  <c r="P79" i="11"/>
  <c r="O79" i="11"/>
  <c r="N79" i="11"/>
  <c r="M79" i="11"/>
  <c r="L79" i="11"/>
  <c r="J79" i="11"/>
  <c r="I79" i="11"/>
  <c r="H79" i="11"/>
  <c r="G79" i="11"/>
  <c r="E79" i="11"/>
  <c r="D79" i="11"/>
  <c r="P78" i="11"/>
  <c r="O78" i="11"/>
  <c r="N78" i="11"/>
  <c r="M78" i="11"/>
  <c r="L78" i="11"/>
  <c r="J78" i="11"/>
  <c r="I78" i="11"/>
  <c r="H78" i="11"/>
  <c r="G78" i="11"/>
  <c r="E78" i="11"/>
  <c r="D78" i="11"/>
  <c r="P77" i="11"/>
  <c r="O77" i="11"/>
  <c r="N77" i="11"/>
  <c r="M77" i="11"/>
  <c r="L77" i="11"/>
  <c r="J77" i="11"/>
  <c r="I77" i="11"/>
  <c r="H77" i="11"/>
  <c r="G77" i="11"/>
  <c r="E77" i="11"/>
  <c r="D77" i="11"/>
  <c r="O76" i="11"/>
  <c r="N76" i="11"/>
  <c r="M76" i="11"/>
  <c r="L76" i="11"/>
  <c r="J76" i="11"/>
  <c r="I76" i="11"/>
  <c r="H76" i="11"/>
  <c r="G76" i="11"/>
  <c r="D76" i="11"/>
  <c r="E76" i="11" s="1"/>
  <c r="P74" i="11"/>
  <c r="O74" i="11"/>
  <c r="N74" i="11"/>
  <c r="M74" i="11"/>
  <c r="L74" i="11"/>
  <c r="J74" i="11"/>
  <c r="I74" i="11"/>
  <c r="H74" i="11"/>
  <c r="G74" i="11"/>
  <c r="E74" i="11"/>
  <c r="D74" i="11"/>
  <c r="P73" i="11"/>
  <c r="O73" i="11"/>
  <c r="N73" i="11"/>
  <c r="M73" i="11"/>
  <c r="L73" i="11"/>
  <c r="J73" i="11"/>
  <c r="I73" i="11"/>
  <c r="H73" i="11"/>
  <c r="G73" i="11"/>
  <c r="E73" i="11"/>
  <c r="D73" i="11"/>
  <c r="O72" i="11"/>
  <c r="N72" i="11"/>
  <c r="M72" i="11"/>
  <c r="L72" i="11"/>
  <c r="J72" i="11"/>
  <c r="I72" i="11"/>
  <c r="H72" i="11"/>
  <c r="G72" i="11"/>
  <c r="D72" i="11"/>
  <c r="E72" i="11" s="1"/>
  <c r="O71" i="11"/>
  <c r="N71" i="11"/>
  <c r="M71" i="11"/>
  <c r="J71" i="11"/>
  <c r="I71" i="11"/>
  <c r="H71" i="11"/>
  <c r="T69" i="11"/>
  <c r="R69" i="11"/>
  <c r="P69" i="11"/>
  <c r="N69" i="11"/>
  <c r="M69" i="11"/>
  <c r="L69" i="11"/>
  <c r="U69" i="11" s="1"/>
  <c r="T68" i="11"/>
  <c r="S68" i="11"/>
  <c r="P68" i="11"/>
  <c r="O68" i="11"/>
  <c r="N68" i="11"/>
  <c r="M68" i="11"/>
  <c r="L68" i="11"/>
  <c r="Q68" i="11" s="1"/>
  <c r="T67" i="11"/>
  <c r="P67" i="11"/>
  <c r="N67" i="11"/>
  <c r="M67" i="11"/>
  <c r="L67" i="11"/>
  <c r="U66" i="11"/>
  <c r="Q66" i="11"/>
  <c r="G71" i="11" s="1"/>
  <c r="N66" i="11"/>
  <c r="M66" i="11"/>
  <c r="L63" i="11" s="1"/>
  <c r="L66" i="11"/>
  <c r="T65" i="11"/>
  <c r="P65" i="11"/>
  <c r="N65" i="11"/>
  <c r="M65" i="11"/>
  <c r="L65" i="11"/>
  <c r="Q65" i="11" s="1"/>
  <c r="D71" i="11" s="1"/>
  <c r="E71" i="11" s="1"/>
  <c r="N63" i="11"/>
  <c r="K76" i="11" s="1"/>
  <c r="P60" i="11"/>
  <c r="O60" i="11"/>
  <c r="N60" i="11"/>
  <c r="M60" i="11"/>
  <c r="L60" i="11"/>
  <c r="J60" i="11"/>
  <c r="I60" i="11"/>
  <c r="H60" i="11"/>
  <c r="G60" i="11"/>
  <c r="E60" i="11"/>
  <c r="D60" i="11"/>
  <c r="P59" i="11"/>
  <c r="O59" i="11"/>
  <c r="N59" i="11"/>
  <c r="M59" i="11"/>
  <c r="L59" i="11"/>
  <c r="J59" i="11"/>
  <c r="I59" i="11"/>
  <c r="H59" i="11"/>
  <c r="G59" i="11"/>
  <c r="E59" i="11"/>
  <c r="D59" i="11"/>
  <c r="P58" i="11"/>
  <c r="O58" i="11"/>
  <c r="N58" i="11"/>
  <c r="M58" i="11"/>
  <c r="L58" i="11"/>
  <c r="J58" i="11"/>
  <c r="I58" i="11"/>
  <c r="H58" i="11"/>
  <c r="G58" i="11"/>
  <c r="E58" i="11"/>
  <c r="D58" i="11"/>
  <c r="O57" i="11"/>
  <c r="N57" i="11"/>
  <c r="M57" i="11"/>
  <c r="L57" i="11"/>
  <c r="J57" i="11"/>
  <c r="I57" i="11"/>
  <c r="H57" i="11"/>
  <c r="G57" i="11"/>
  <c r="D57" i="11"/>
  <c r="E57" i="11" s="1"/>
  <c r="P55" i="11"/>
  <c r="O55" i="11"/>
  <c r="N55" i="11"/>
  <c r="M55" i="11"/>
  <c r="L55" i="11"/>
  <c r="J55" i="11"/>
  <c r="I55" i="11"/>
  <c r="H55" i="11"/>
  <c r="G55" i="11"/>
  <c r="E55" i="11"/>
  <c r="D55" i="11"/>
  <c r="P54" i="11"/>
  <c r="O54" i="11"/>
  <c r="N54" i="11"/>
  <c r="M54" i="11"/>
  <c r="L54" i="11"/>
  <c r="J54" i="11"/>
  <c r="I54" i="11"/>
  <c r="H54" i="11"/>
  <c r="G54" i="11"/>
  <c r="E54" i="11"/>
  <c r="D54" i="11"/>
  <c r="P53" i="11"/>
  <c r="O53" i="11"/>
  <c r="N53" i="11"/>
  <c r="M53" i="11"/>
  <c r="L53" i="11"/>
  <c r="J53" i="11"/>
  <c r="I53" i="11"/>
  <c r="H53" i="11"/>
  <c r="G53" i="11"/>
  <c r="E53" i="11"/>
  <c r="D53" i="11"/>
  <c r="O52" i="11"/>
  <c r="N52" i="11"/>
  <c r="M52" i="11"/>
  <c r="L52" i="11"/>
  <c r="J52" i="11"/>
  <c r="I52" i="11"/>
  <c r="H52" i="11"/>
  <c r="G52" i="11"/>
  <c r="E52" i="11"/>
  <c r="D52" i="11"/>
  <c r="T50" i="11"/>
  <c r="R50" i="11"/>
  <c r="Q50" i="11"/>
  <c r="P50" i="11"/>
  <c r="O50" i="11"/>
  <c r="S50" i="11" s="1"/>
  <c r="V50" i="11" s="1"/>
  <c r="N50" i="11"/>
  <c r="M50" i="11"/>
  <c r="L50" i="11"/>
  <c r="U50" i="11" s="1"/>
  <c r="U49" i="11"/>
  <c r="T49" i="11"/>
  <c r="P49" i="11"/>
  <c r="N49" i="11"/>
  <c r="R49" i="11" s="1"/>
  <c r="M49" i="11"/>
  <c r="L49" i="11"/>
  <c r="Q49" i="11" s="1"/>
  <c r="Q48" i="11"/>
  <c r="R47" i="11" s="1"/>
  <c r="M48" i="11"/>
  <c r="L48" i="11"/>
  <c r="N48" i="11" s="1"/>
  <c r="Q47" i="11"/>
  <c r="N47" i="11"/>
  <c r="M47" i="11"/>
  <c r="L47" i="11"/>
  <c r="T46" i="11"/>
  <c r="P46" i="11"/>
  <c r="N46" i="11"/>
  <c r="M46" i="11"/>
  <c r="L46" i="11"/>
  <c r="Q46" i="11" s="1"/>
  <c r="N44" i="11"/>
  <c r="K57" i="11" s="1"/>
  <c r="P57" i="11" s="1"/>
  <c r="L44" i="11"/>
  <c r="P41" i="11"/>
  <c r="O41" i="11"/>
  <c r="N41" i="11"/>
  <c r="M41" i="11"/>
  <c r="L41" i="11"/>
  <c r="J41" i="11"/>
  <c r="I41" i="11"/>
  <c r="H41" i="11"/>
  <c r="G41" i="11"/>
  <c r="E41" i="11"/>
  <c r="D41" i="11"/>
  <c r="P40" i="11"/>
  <c r="O40" i="11"/>
  <c r="N40" i="11"/>
  <c r="M40" i="11"/>
  <c r="L40" i="11"/>
  <c r="J40" i="11"/>
  <c r="I40" i="11"/>
  <c r="H40" i="11"/>
  <c r="G40" i="11"/>
  <c r="E40" i="11"/>
  <c r="D40" i="11"/>
  <c r="P39" i="11"/>
  <c r="O39" i="11"/>
  <c r="N39" i="11"/>
  <c r="M39" i="11"/>
  <c r="L39" i="11"/>
  <c r="J39" i="11"/>
  <c r="I39" i="11"/>
  <c r="H39" i="11"/>
  <c r="G39" i="11"/>
  <c r="E39" i="11"/>
  <c r="D39" i="11"/>
  <c r="O38" i="11"/>
  <c r="N38" i="11"/>
  <c r="M38" i="11"/>
  <c r="L38" i="11"/>
  <c r="J38" i="11"/>
  <c r="I38" i="11"/>
  <c r="H38" i="11"/>
  <c r="G38" i="11"/>
  <c r="D38" i="11"/>
  <c r="E38" i="11" s="1"/>
  <c r="P36" i="11"/>
  <c r="O36" i="11"/>
  <c r="N36" i="11"/>
  <c r="M36" i="11"/>
  <c r="L36" i="11"/>
  <c r="J36" i="11"/>
  <c r="I36" i="11"/>
  <c r="H36" i="11"/>
  <c r="G36" i="11"/>
  <c r="E36" i="11"/>
  <c r="D36" i="11"/>
  <c r="P35" i="11"/>
  <c r="O35" i="11"/>
  <c r="N35" i="11"/>
  <c r="M35" i="11"/>
  <c r="L35" i="11"/>
  <c r="J35" i="11"/>
  <c r="I35" i="11"/>
  <c r="H35" i="11"/>
  <c r="G35" i="11"/>
  <c r="E35" i="11"/>
  <c r="D35" i="11"/>
  <c r="P34" i="11"/>
  <c r="O34" i="11"/>
  <c r="N34" i="11"/>
  <c r="M34" i="11"/>
  <c r="L34" i="11"/>
  <c r="J34" i="11"/>
  <c r="I34" i="11"/>
  <c r="H34" i="11"/>
  <c r="G34" i="11"/>
  <c r="E34" i="11"/>
  <c r="D34" i="11"/>
  <c r="O33" i="11"/>
  <c r="N33" i="11"/>
  <c r="M33" i="11"/>
  <c r="L33" i="11"/>
  <c r="J33" i="11"/>
  <c r="I33" i="11"/>
  <c r="H33" i="11"/>
  <c r="G33" i="11"/>
  <c r="D33" i="11"/>
  <c r="E33" i="11" s="1"/>
  <c r="U31" i="11"/>
  <c r="T31" i="11"/>
  <c r="P31" i="11"/>
  <c r="O31" i="11"/>
  <c r="N31" i="11"/>
  <c r="S31" i="11" s="1"/>
  <c r="V31" i="11" s="1"/>
  <c r="M31" i="11"/>
  <c r="L31" i="11"/>
  <c r="Q31" i="11" s="1"/>
  <c r="R30" i="11" s="1"/>
  <c r="U30" i="11"/>
  <c r="T30" i="11"/>
  <c r="P30" i="11"/>
  <c r="N30" i="11"/>
  <c r="M30" i="11"/>
  <c r="L30" i="11"/>
  <c r="O30" i="11" s="1"/>
  <c r="S30" i="11" s="1"/>
  <c r="V30" i="11" s="1"/>
  <c r="U29" i="11"/>
  <c r="N29" i="11"/>
  <c r="M29" i="11"/>
  <c r="L29" i="11"/>
  <c r="Q29" i="11" s="1"/>
  <c r="U28" i="11"/>
  <c r="N28" i="11"/>
  <c r="O28" i="11" s="1"/>
  <c r="T28" i="11" s="1"/>
  <c r="M28" i="11"/>
  <c r="L28" i="11"/>
  <c r="T27" i="11"/>
  <c r="P27" i="11"/>
  <c r="Q28" i="11" s="1"/>
  <c r="R27" i="11" s="1"/>
  <c r="N27" i="11"/>
  <c r="M27" i="11"/>
  <c r="L27" i="11"/>
  <c r="Q27" i="11" s="1"/>
  <c r="N25" i="11"/>
  <c r="K38" i="11" s="1"/>
  <c r="P38" i="11" s="1"/>
  <c r="L25" i="11"/>
  <c r="P22" i="11"/>
  <c r="O22" i="11"/>
  <c r="N22" i="11"/>
  <c r="M22" i="11"/>
  <c r="L22" i="11"/>
  <c r="J22" i="11"/>
  <c r="I22" i="11"/>
  <c r="H22" i="11"/>
  <c r="G22" i="11"/>
  <c r="E22" i="11"/>
  <c r="D22" i="11"/>
  <c r="P21" i="11"/>
  <c r="O21" i="11"/>
  <c r="N21" i="11"/>
  <c r="M21" i="11"/>
  <c r="L21" i="11"/>
  <c r="J21" i="11"/>
  <c r="I21" i="11"/>
  <c r="H21" i="11"/>
  <c r="G21" i="11"/>
  <c r="E21" i="11"/>
  <c r="D21" i="11"/>
  <c r="P20" i="11"/>
  <c r="O20" i="11"/>
  <c r="N20" i="11"/>
  <c r="M20" i="11"/>
  <c r="L20" i="11"/>
  <c r="J20" i="11"/>
  <c r="I20" i="11"/>
  <c r="H20" i="11"/>
  <c r="G20" i="11"/>
  <c r="E20" i="11"/>
  <c r="D20" i="11"/>
  <c r="O19" i="11"/>
  <c r="N19" i="11"/>
  <c r="M19" i="11"/>
  <c r="L19" i="11"/>
  <c r="J19" i="11"/>
  <c r="I19" i="11"/>
  <c r="H19" i="11"/>
  <c r="G19" i="11"/>
  <c r="E19" i="11"/>
  <c r="D19" i="11"/>
  <c r="P17" i="11"/>
  <c r="O17" i="11"/>
  <c r="N17" i="11"/>
  <c r="M17" i="11"/>
  <c r="L17" i="11"/>
  <c r="J17" i="11"/>
  <c r="I17" i="11"/>
  <c r="H17" i="11"/>
  <c r="G17" i="11"/>
  <c r="E17" i="11"/>
  <c r="D17" i="11"/>
  <c r="P16" i="11"/>
  <c r="O16" i="11"/>
  <c r="N16" i="11"/>
  <c r="M16" i="11"/>
  <c r="L16" i="11"/>
  <c r="J16" i="11"/>
  <c r="I16" i="11"/>
  <c r="H16" i="11"/>
  <c r="G16" i="11"/>
  <c r="E16" i="11"/>
  <c r="D16" i="11"/>
  <c r="P15" i="11"/>
  <c r="O15" i="11"/>
  <c r="N15" i="11"/>
  <c r="M15" i="11"/>
  <c r="L15" i="11"/>
  <c r="J15" i="11"/>
  <c r="I15" i="11"/>
  <c r="H15" i="11"/>
  <c r="G15" i="11"/>
  <c r="E15" i="11"/>
  <c r="D15" i="11"/>
  <c r="O14" i="11"/>
  <c r="N14" i="11"/>
  <c r="M14" i="11"/>
  <c r="L14" i="11"/>
  <c r="J14" i="11"/>
  <c r="I14" i="11"/>
  <c r="H14" i="11"/>
  <c r="G14" i="11"/>
  <c r="E14" i="11"/>
  <c r="D14" i="11"/>
  <c r="T12" i="11"/>
  <c r="P12" i="11"/>
  <c r="N12" i="11"/>
  <c r="M12" i="11"/>
  <c r="L12" i="11"/>
  <c r="U12" i="11" s="1"/>
  <c r="T11" i="11"/>
  <c r="Q11" i="11"/>
  <c r="P11" i="11"/>
  <c r="N11" i="11"/>
  <c r="M11" i="11"/>
  <c r="L11" i="11"/>
  <c r="U11" i="11" s="1"/>
  <c r="N10" i="11"/>
  <c r="M10" i="11"/>
  <c r="L10" i="11"/>
  <c r="O9" i="11"/>
  <c r="T9" i="11" s="1"/>
  <c r="N9" i="11"/>
  <c r="M9" i="11"/>
  <c r="L6" i="11" s="1"/>
  <c r="L9" i="11"/>
  <c r="T8" i="11"/>
  <c r="U9" i="11" s="1"/>
  <c r="P8" i="11"/>
  <c r="Q9" i="11" s="1"/>
  <c r="N8" i="11"/>
  <c r="R8" i="11" s="1"/>
  <c r="M8" i="11"/>
  <c r="L8" i="11"/>
  <c r="Q8" i="11" s="1"/>
  <c r="N6" i="11"/>
  <c r="F21" i="11" s="1"/>
  <c r="T21" i="11" s="1"/>
  <c r="P155" i="9"/>
  <c r="O155" i="9"/>
  <c r="N155" i="9"/>
  <c r="M155" i="9"/>
  <c r="L155" i="9"/>
  <c r="J155" i="9"/>
  <c r="I155" i="9"/>
  <c r="H155" i="9"/>
  <c r="G155" i="9"/>
  <c r="E155" i="9"/>
  <c r="D155" i="9"/>
  <c r="P154" i="9"/>
  <c r="O154" i="9"/>
  <c r="N154" i="9"/>
  <c r="M154" i="9"/>
  <c r="L154" i="9"/>
  <c r="J154" i="9"/>
  <c r="I154" i="9"/>
  <c r="H154" i="9"/>
  <c r="G154" i="9"/>
  <c r="E154" i="9"/>
  <c r="D154" i="9"/>
  <c r="P153" i="9"/>
  <c r="O153" i="9"/>
  <c r="N153" i="9"/>
  <c r="M153" i="9"/>
  <c r="L153" i="9"/>
  <c r="J153" i="9"/>
  <c r="I153" i="9"/>
  <c r="H153" i="9"/>
  <c r="G153" i="9"/>
  <c r="E153" i="9"/>
  <c r="D153" i="9"/>
  <c r="P152" i="9"/>
  <c r="O152" i="9"/>
  <c r="N152" i="9"/>
  <c r="M152" i="9"/>
  <c r="L152" i="9"/>
  <c r="J152" i="9"/>
  <c r="I152" i="9"/>
  <c r="H152" i="9"/>
  <c r="G152" i="9"/>
  <c r="E152" i="9"/>
  <c r="D152" i="9"/>
  <c r="P150" i="9"/>
  <c r="O150" i="9"/>
  <c r="N150" i="9"/>
  <c r="M150" i="9"/>
  <c r="L150" i="9"/>
  <c r="J150" i="9"/>
  <c r="I150" i="9"/>
  <c r="H150" i="9"/>
  <c r="G150" i="9"/>
  <c r="E150" i="9"/>
  <c r="D150" i="9"/>
  <c r="P149" i="9"/>
  <c r="O149" i="9"/>
  <c r="N149" i="9"/>
  <c r="M149" i="9"/>
  <c r="L149" i="9"/>
  <c r="J149" i="9"/>
  <c r="I149" i="9"/>
  <c r="H149" i="9"/>
  <c r="G149" i="9"/>
  <c r="E149" i="9"/>
  <c r="D149" i="9"/>
  <c r="P148" i="9"/>
  <c r="O148" i="9"/>
  <c r="N148" i="9"/>
  <c r="M148" i="9"/>
  <c r="L148" i="9"/>
  <c r="J148" i="9"/>
  <c r="I148" i="9"/>
  <c r="H148" i="9"/>
  <c r="G148" i="9"/>
  <c r="E148" i="9"/>
  <c r="D148" i="9"/>
  <c r="O147" i="9"/>
  <c r="N147" i="9"/>
  <c r="M147" i="9"/>
  <c r="L147" i="9"/>
  <c r="J147" i="9"/>
  <c r="I147" i="9"/>
  <c r="H147" i="9"/>
  <c r="G147" i="9"/>
  <c r="D147" i="9"/>
  <c r="E147" i="9" s="1"/>
  <c r="U145" i="9"/>
  <c r="T145" i="9"/>
  <c r="R145" i="9"/>
  <c r="Q145" i="9"/>
  <c r="R144" i="9" s="1"/>
  <c r="P145" i="9"/>
  <c r="N145" i="9"/>
  <c r="M145" i="9"/>
  <c r="L145" i="9"/>
  <c r="T144" i="9"/>
  <c r="P144" i="9"/>
  <c r="N144" i="9"/>
  <c r="M144" i="9"/>
  <c r="L144" i="9"/>
  <c r="Q144" i="9" s="1"/>
  <c r="N143" i="9"/>
  <c r="M143" i="9"/>
  <c r="L143" i="9"/>
  <c r="M142" i="9"/>
  <c r="L142" i="9"/>
  <c r="N142" i="9" s="1"/>
  <c r="O142" i="9" s="1"/>
  <c r="N141" i="9"/>
  <c r="M141" i="9"/>
  <c r="N139" i="9" s="1"/>
  <c r="L141" i="9"/>
  <c r="P136" i="9"/>
  <c r="O136" i="9"/>
  <c r="N136" i="9"/>
  <c r="M136" i="9"/>
  <c r="L136" i="9"/>
  <c r="J136" i="9"/>
  <c r="I136" i="9"/>
  <c r="H136" i="9"/>
  <c r="G136" i="9"/>
  <c r="E136" i="9"/>
  <c r="D136" i="9"/>
  <c r="P135" i="9"/>
  <c r="O135" i="9"/>
  <c r="N135" i="9"/>
  <c r="M135" i="9"/>
  <c r="L135" i="9"/>
  <c r="J135" i="9"/>
  <c r="I135" i="9"/>
  <c r="H135" i="9"/>
  <c r="G135" i="9"/>
  <c r="E135" i="9"/>
  <c r="D135" i="9"/>
  <c r="P134" i="9"/>
  <c r="O134" i="9"/>
  <c r="N134" i="9"/>
  <c r="M134" i="9"/>
  <c r="L134" i="9"/>
  <c r="J134" i="9"/>
  <c r="I134" i="9"/>
  <c r="H134" i="9"/>
  <c r="G134" i="9"/>
  <c r="E134" i="9"/>
  <c r="D134" i="9"/>
  <c r="P133" i="9"/>
  <c r="O133" i="9"/>
  <c r="N133" i="9"/>
  <c r="M133" i="9"/>
  <c r="L133" i="9"/>
  <c r="J133" i="9"/>
  <c r="I133" i="9"/>
  <c r="H133" i="9"/>
  <c r="G133" i="9"/>
  <c r="E133" i="9"/>
  <c r="D133" i="9"/>
  <c r="O131" i="9"/>
  <c r="N131" i="9"/>
  <c r="M131" i="9"/>
  <c r="L131" i="9"/>
  <c r="J131" i="9"/>
  <c r="I131" i="9"/>
  <c r="H131" i="9"/>
  <c r="G131" i="9"/>
  <c r="D131" i="9"/>
  <c r="E131" i="9" s="1"/>
  <c r="P130" i="9"/>
  <c r="O130" i="9"/>
  <c r="N130" i="9"/>
  <c r="M130" i="9"/>
  <c r="L130" i="9"/>
  <c r="J130" i="9"/>
  <c r="I130" i="9"/>
  <c r="H130" i="9"/>
  <c r="G130" i="9"/>
  <c r="E130" i="9"/>
  <c r="D130" i="9"/>
  <c r="P129" i="9"/>
  <c r="O129" i="9"/>
  <c r="N129" i="9"/>
  <c r="M129" i="9"/>
  <c r="L129" i="9"/>
  <c r="J129" i="9"/>
  <c r="I129" i="9"/>
  <c r="H129" i="9"/>
  <c r="G129" i="9"/>
  <c r="E129" i="9"/>
  <c r="D129" i="9"/>
  <c r="O128" i="9"/>
  <c r="N128" i="9"/>
  <c r="M128" i="9"/>
  <c r="L128" i="9"/>
  <c r="J128" i="9"/>
  <c r="I128" i="9"/>
  <c r="H128" i="9"/>
  <c r="G128" i="9"/>
  <c r="E128" i="9"/>
  <c r="D128" i="9"/>
  <c r="U126" i="9"/>
  <c r="T126" i="9"/>
  <c r="R126" i="9"/>
  <c r="Q126" i="9"/>
  <c r="P126" i="9"/>
  <c r="O126" i="9"/>
  <c r="S126" i="9" s="1"/>
  <c r="V126" i="9" s="1"/>
  <c r="N126" i="9"/>
  <c r="M126" i="9"/>
  <c r="L126" i="9"/>
  <c r="T125" i="9"/>
  <c r="R125" i="9"/>
  <c r="P125" i="9"/>
  <c r="N125" i="9"/>
  <c r="M125" i="9"/>
  <c r="L125" i="9"/>
  <c r="Q125" i="9" s="1"/>
  <c r="Q124" i="9"/>
  <c r="M124" i="9"/>
  <c r="L124" i="9"/>
  <c r="N124" i="9" s="1"/>
  <c r="M123" i="9"/>
  <c r="L123" i="9"/>
  <c r="T122" i="9"/>
  <c r="P122" i="9"/>
  <c r="Q123" i="9" s="1"/>
  <c r="N122" i="9"/>
  <c r="M122" i="9"/>
  <c r="L122" i="9"/>
  <c r="Q122" i="9" s="1"/>
  <c r="N120" i="9"/>
  <c r="K133" i="9" s="1"/>
  <c r="L120" i="9"/>
  <c r="P117" i="9"/>
  <c r="O117" i="9"/>
  <c r="N117" i="9"/>
  <c r="M117" i="9"/>
  <c r="L117" i="9"/>
  <c r="J117" i="9"/>
  <c r="I117" i="9"/>
  <c r="H117" i="9"/>
  <c r="G117" i="9"/>
  <c r="E117" i="9"/>
  <c r="D117" i="9"/>
  <c r="P116" i="9"/>
  <c r="O116" i="9"/>
  <c r="N116" i="9"/>
  <c r="M116" i="9"/>
  <c r="L116" i="9"/>
  <c r="J116" i="9"/>
  <c r="I116" i="9"/>
  <c r="H116" i="9"/>
  <c r="G116" i="9"/>
  <c r="E116" i="9"/>
  <c r="D116" i="9"/>
  <c r="P115" i="9"/>
  <c r="O115" i="9"/>
  <c r="N115" i="9"/>
  <c r="M115" i="9"/>
  <c r="L115" i="9"/>
  <c r="J115" i="9"/>
  <c r="I115" i="9"/>
  <c r="H115" i="9"/>
  <c r="G115" i="9"/>
  <c r="E115" i="9"/>
  <c r="D115" i="9"/>
  <c r="O114" i="9"/>
  <c r="N114" i="9"/>
  <c r="M114" i="9"/>
  <c r="J114" i="9"/>
  <c r="I114" i="9"/>
  <c r="H114" i="9"/>
  <c r="G114" i="9"/>
  <c r="D114" i="9"/>
  <c r="E114" i="9" s="1"/>
  <c r="P112" i="9"/>
  <c r="O112" i="9"/>
  <c r="N112" i="9"/>
  <c r="M112" i="9"/>
  <c r="L112" i="9"/>
  <c r="J112" i="9"/>
  <c r="I112" i="9"/>
  <c r="H112" i="9"/>
  <c r="G112" i="9"/>
  <c r="E112" i="9"/>
  <c r="D112" i="9"/>
  <c r="P111" i="9"/>
  <c r="O111" i="9"/>
  <c r="N111" i="9"/>
  <c r="M111" i="9"/>
  <c r="L111" i="9"/>
  <c r="J111" i="9"/>
  <c r="I111" i="9"/>
  <c r="H111" i="9"/>
  <c r="G111" i="9"/>
  <c r="E111" i="9"/>
  <c r="D111" i="9"/>
  <c r="P110" i="9"/>
  <c r="O110" i="9"/>
  <c r="N110" i="9"/>
  <c r="M110" i="9"/>
  <c r="L110" i="9"/>
  <c r="J110" i="9"/>
  <c r="I110" i="9"/>
  <c r="H110" i="9"/>
  <c r="G110" i="9"/>
  <c r="E110" i="9"/>
  <c r="D110" i="9"/>
  <c r="O109" i="9"/>
  <c r="N109" i="9"/>
  <c r="M109" i="9"/>
  <c r="L109" i="9"/>
  <c r="J109" i="9"/>
  <c r="I109" i="9"/>
  <c r="H109" i="9"/>
  <c r="G109" i="9"/>
  <c r="D109" i="9"/>
  <c r="E109" i="9" s="1"/>
  <c r="T107" i="9"/>
  <c r="P107" i="9"/>
  <c r="N107" i="9"/>
  <c r="M107" i="9"/>
  <c r="L107" i="9"/>
  <c r="U107" i="9" s="1"/>
  <c r="M106" i="9"/>
  <c r="L106" i="9"/>
  <c r="Q106" i="9" s="1"/>
  <c r="N105" i="9"/>
  <c r="M105" i="9"/>
  <c r="L105" i="9"/>
  <c r="Q105" i="9" s="1"/>
  <c r="P104" i="9"/>
  <c r="N104" i="9"/>
  <c r="O104" i="9" s="1"/>
  <c r="T104" i="9" s="1"/>
  <c r="M104" i="9"/>
  <c r="L101" i="9" s="1"/>
  <c r="L104" i="9"/>
  <c r="U104" i="9" s="1"/>
  <c r="T103" i="9"/>
  <c r="P103" i="9"/>
  <c r="Q104" i="9" s="1"/>
  <c r="R103" i="9" s="1"/>
  <c r="N103" i="9"/>
  <c r="M103" i="9"/>
  <c r="L103" i="9"/>
  <c r="Q103" i="9" s="1"/>
  <c r="N101" i="9"/>
  <c r="F117" i="9" s="1"/>
  <c r="T117" i="9" s="1"/>
  <c r="P98" i="9"/>
  <c r="O98" i="9"/>
  <c r="N98" i="9"/>
  <c r="M98" i="9"/>
  <c r="L98" i="9"/>
  <c r="J98" i="9"/>
  <c r="I98" i="9"/>
  <c r="H98" i="9"/>
  <c r="G98" i="9"/>
  <c r="E98" i="9"/>
  <c r="D98" i="9"/>
  <c r="P97" i="9"/>
  <c r="O97" i="9"/>
  <c r="N97" i="9"/>
  <c r="M97" i="9"/>
  <c r="L97" i="9"/>
  <c r="J97" i="9"/>
  <c r="I97" i="9"/>
  <c r="H97" i="9"/>
  <c r="G97" i="9"/>
  <c r="E97" i="9"/>
  <c r="D97" i="9"/>
  <c r="O96" i="9"/>
  <c r="N96" i="9"/>
  <c r="M96" i="9"/>
  <c r="J96" i="9"/>
  <c r="I96" i="9"/>
  <c r="H96" i="9"/>
  <c r="G96" i="9"/>
  <c r="D96" i="9"/>
  <c r="E96" i="9" s="1"/>
  <c r="O95" i="9"/>
  <c r="N95" i="9"/>
  <c r="M95" i="9"/>
  <c r="J95" i="9"/>
  <c r="I95" i="9"/>
  <c r="H95" i="9"/>
  <c r="G95" i="9"/>
  <c r="D95" i="9"/>
  <c r="E95" i="9" s="1"/>
  <c r="P93" i="9"/>
  <c r="O93" i="9"/>
  <c r="N93" i="9"/>
  <c r="M93" i="9"/>
  <c r="L93" i="9"/>
  <c r="J93" i="9"/>
  <c r="I93" i="9"/>
  <c r="H93" i="9"/>
  <c r="G93" i="9"/>
  <c r="E93" i="9"/>
  <c r="D93" i="9"/>
  <c r="P92" i="9"/>
  <c r="O92" i="9"/>
  <c r="N92" i="9"/>
  <c r="M92" i="9"/>
  <c r="L92" i="9"/>
  <c r="J92" i="9"/>
  <c r="I92" i="9"/>
  <c r="H92" i="9"/>
  <c r="G92" i="9"/>
  <c r="E92" i="9"/>
  <c r="D92" i="9"/>
  <c r="O91" i="9"/>
  <c r="N91" i="9"/>
  <c r="M91" i="9"/>
  <c r="L91" i="9"/>
  <c r="J91" i="9"/>
  <c r="I91" i="9"/>
  <c r="H91" i="9"/>
  <c r="G91" i="9"/>
  <c r="D91" i="9"/>
  <c r="E91" i="9" s="1"/>
  <c r="O90" i="9"/>
  <c r="N90" i="9"/>
  <c r="M90" i="9"/>
  <c r="L90" i="9"/>
  <c r="J90" i="9"/>
  <c r="I90" i="9"/>
  <c r="H90" i="9"/>
  <c r="G90" i="9"/>
  <c r="D90" i="9"/>
  <c r="E90" i="9" s="1"/>
  <c r="T88" i="9"/>
  <c r="R88" i="9"/>
  <c r="Q88" i="9"/>
  <c r="P88" i="9"/>
  <c r="O88" i="9"/>
  <c r="S88" i="9" s="1"/>
  <c r="V88" i="9" s="1"/>
  <c r="N88" i="9"/>
  <c r="M88" i="9"/>
  <c r="L88" i="9"/>
  <c r="U88" i="9" s="1"/>
  <c r="T87" i="9"/>
  <c r="R87" i="9"/>
  <c r="P87" i="9"/>
  <c r="N87" i="9"/>
  <c r="M87" i="9"/>
  <c r="L87" i="9"/>
  <c r="Q87" i="9" s="1"/>
  <c r="N86" i="9"/>
  <c r="M86" i="9"/>
  <c r="L86" i="9"/>
  <c r="U86" i="9" s="1"/>
  <c r="N85" i="9"/>
  <c r="M85" i="9"/>
  <c r="L85" i="9"/>
  <c r="T84" i="9"/>
  <c r="P84" i="9"/>
  <c r="N84" i="9"/>
  <c r="M84" i="9"/>
  <c r="L84" i="9"/>
  <c r="N82" i="9"/>
  <c r="K95" i="9" s="1"/>
  <c r="L82" i="9"/>
  <c r="P79" i="9"/>
  <c r="O79" i="9"/>
  <c r="N79" i="9"/>
  <c r="M79" i="9"/>
  <c r="L79" i="9"/>
  <c r="J79" i="9"/>
  <c r="I79" i="9"/>
  <c r="H79" i="9"/>
  <c r="G79" i="9"/>
  <c r="E79" i="9"/>
  <c r="D79" i="9"/>
  <c r="P78" i="9"/>
  <c r="O78" i="9"/>
  <c r="N78" i="9"/>
  <c r="M78" i="9"/>
  <c r="L78" i="9"/>
  <c r="J78" i="9"/>
  <c r="I78" i="9"/>
  <c r="H78" i="9"/>
  <c r="G78" i="9"/>
  <c r="E78" i="9"/>
  <c r="D78" i="9"/>
  <c r="O77" i="9"/>
  <c r="N77" i="9"/>
  <c r="M77" i="9"/>
  <c r="J77" i="9"/>
  <c r="I77" i="9"/>
  <c r="H77" i="9"/>
  <c r="G77" i="9"/>
  <c r="D77" i="9"/>
  <c r="E77" i="9" s="1"/>
  <c r="O76" i="9"/>
  <c r="N76" i="9"/>
  <c r="M76" i="9"/>
  <c r="J76" i="9"/>
  <c r="I76" i="9"/>
  <c r="H76" i="9"/>
  <c r="G76" i="9"/>
  <c r="E76" i="9"/>
  <c r="D76" i="9"/>
  <c r="P74" i="9"/>
  <c r="O74" i="9"/>
  <c r="N74" i="9"/>
  <c r="M74" i="9"/>
  <c r="L74" i="9"/>
  <c r="J74" i="9"/>
  <c r="I74" i="9"/>
  <c r="H74" i="9"/>
  <c r="G74" i="9"/>
  <c r="E74" i="9"/>
  <c r="D74" i="9"/>
  <c r="P73" i="9"/>
  <c r="O73" i="9"/>
  <c r="N73" i="9"/>
  <c r="M73" i="9"/>
  <c r="L73" i="9"/>
  <c r="J73" i="9"/>
  <c r="I73" i="9"/>
  <c r="H73" i="9"/>
  <c r="G73" i="9"/>
  <c r="E73" i="9"/>
  <c r="D73" i="9"/>
  <c r="O72" i="9"/>
  <c r="N72" i="9"/>
  <c r="M72" i="9"/>
  <c r="L72" i="9"/>
  <c r="J72" i="9"/>
  <c r="I72" i="9"/>
  <c r="H72" i="9"/>
  <c r="G72" i="9"/>
  <c r="D72" i="9"/>
  <c r="E72" i="9" s="1"/>
  <c r="O71" i="9"/>
  <c r="N71" i="9"/>
  <c r="M71" i="9"/>
  <c r="L71" i="9"/>
  <c r="J71" i="9"/>
  <c r="I71" i="9"/>
  <c r="H71" i="9"/>
  <c r="G71" i="9"/>
  <c r="D71" i="9"/>
  <c r="E71" i="9" s="1"/>
  <c r="T69" i="9"/>
  <c r="R69" i="9"/>
  <c r="Q69" i="9"/>
  <c r="P69" i="9"/>
  <c r="O69" i="9"/>
  <c r="S69" i="9" s="1"/>
  <c r="V69" i="9" s="1"/>
  <c r="N69" i="9"/>
  <c r="M69" i="9"/>
  <c r="L69" i="9"/>
  <c r="U69" i="9" s="1"/>
  <c r="T68" i="9"/>
  <c r="R68" i="9"/>
  <c r="P68" i="9"/>
  <c r="N68" i="9"/>
  <c r="M68" i="9"/>
  <c r="L68" i="9"/>
  <c r="Q68" i="9" s="1"/>
  <c r="U67" i="9"/>
  <c r="M67" i="9"/>
  <c r="L67" i="9"/>
  <c r="Q67" i="9" s="1"/>
  <c r="Q66" i="9"/>
  <c r="N66" i="9"/>
  <c r="M66" i="9"/>
  <c r="L66" i="9"/>
  <c r="T65" i="9"/>
  <c r="P65" i="9"/>
  <c r="N65" i="9"/>
  <c r="M65" i="9"/>
  <c r="L65" i="9"/>
  <c r="N63" i="9"/>
  <c r="K76" i="9" s="1"/>
  <c r="L63" i="9"/>
  <c r="O60" i="9"/>
  <c r="N60" i="9"/>
  <c r="M60" i="9"/>
  <c r="J60" i="9"/>
  <c r="I60" i="9"/>
  <c r="H60" i="9"/>
  <c r="G60" i="9"/>
  <c r="D60" i="9"/>
  <c r="E60" i="9" s="1"/>
  <c r="P59" i="9"/>
  <c r="O59" i="9"/>
  <c r="N59" i="9"/>
  <c r="M59" i="9"/>
  <c r="L59" i="9"/>
  <c r="J59" i="9"/>
  <c r="I59" i="9"/>
  <c r="H59" i="9"/>
  <c r="G59" i="9"/>
  <c r="E59" i="9"/>
  <c r="D59" i="9"/>
  <c r="P58" i="9"/>
  <c r="O58" i="9"/>
  <c r="N58" i="9"/>
  <c r="M58" i="9"/>
  <c r="L58" i="9"/>
  <c r="J58" i="9"/>
  <c r="I58" i="9"/>
  <c r="H58" i="9"/>
  <c r="G58" i="9"/>
  <c r="E58" i="9"/>
  <c r="D58" i="9"/>
  <c r="O57" i="9"/>
  <c r="N57" i="9"/>
  <c r="M57" i="9"/>
  <c r="J57" i="9"/>
  <c r="I57" i="9"/>
  <c r="H57" i="9"/>
  <c r="G57" i="9"/>
  <c r="D57" i="9"/>
  <c r="E57" i="9" s="1"/>
  <c r="O55" i="9"/>
  <c r="N55" i="9"/>
  <c r="M55" i="9"/>
  <c r="L55" i="9"/>
  <c r="J55" i="9"/>
  <c r="I55" i="9"/>
  <c r="H55" i="9"/>
  <c r="G55" i="9"/>
  <c r="D55" i="9"/>
  <c r="E55" i="9" s="1"/>
  <c r="P54" i="9"/>
  <c r="O54" i="9"/>
  <c r="N54" i="9"/>
  <c r="M54" i="9"/>
  <c r="L54" i="9"/>
  <c r="J54" i="9"/>
  <c r="I54" i="9"/>
  <c r="H54" i="9"/>
  <c r="G54" i="9"/>
  <c r="E54" i="9"/>
  <c r="D54" i="9"/>
  <c r="P53" i="9"/>
  <c r="O53" i="9"/>
  <c r="N53" i="9"/>
  <c r="M53" i="9"/>
  <c r="L53" i="9"/>
  <c r="J53" i="9"/>
  <c r="I53" i="9"/>
  <c r="H53" i="9"/>
  <c r="G53" i="9"/>
  <c r="E53" i="9"/>
  <c r="D53" i="9"/>
  <c r="O52" i="9"/>
  <c r="N52" i="9"/>
  <c r="M52" i="9"/>
  <c r="L52" i="9"/>
  <c r="J52" i="9"/>
  <c r="I52" i="9"/>
  <c r="H52" i="9"/>
  <c r="G52" i="9"/>
  <c r="D52" i="9"/>
  <c r="E52" i="9" s="1"/>
  <c r="T50" i="9"/>
  <c r="Q50" i="9"/>
  <c r="P50" i="9"/>
  <c r="N50" i="9"/>
  <c r="R50" i="9" s="1"/>
  <c r="M50" i="9"/>
  <c r="L50" i="9"/>
  <c r="U50" i="9" s="1"/>
  <c r="T49" i="9"/>
  <c r="P49" i="9"/>
  <c r="N49" i="9"/>
  <c r="M49" i="9"/>
  <c r="L49" i="9"/>
  <c r="Q49" i="9" s="1"/>
  <c r="N48" i="9"/>
  <c r="M48" i="9"/>
  <c r="L48" i="9"/>
  <c r="U47" i="9"/>
  <c r="N47" i="9"/>
  <c r="M47" i="9"/>
  <c r="L44" i="9" s="1"/>
  <c r="L47" i="9"/>
  <c r="T46" i="9"/>
  <c r="P46" i="9"/>
  <c r="Q47" i="9" s="1"/>
  <c r="N46" i="9"/>
  <c r="M46" i="9"/>
  <c r="L46" i="9"/>
  <c r="Q46" i="9" s="1"/>
  <c r="N44" i="9"/>
  <c r="K57" i="9" s="1"/>
  <c r="O41" i="9"/>
  <c r="N41" i="9"/>
  <c r="M41" i="9"/>
  <c r="J41" i="9"/>
  <c r="I41" i="9"/>
  <c r="H41" i="9"/>
  <c r="G41" i="9"/>
  <c r="D41" i="9"/>
  <c r="E41" i="9" s="1"/>
  <c r="P40" i="9"/>
  <c r="O40" i="9"/>
  <c r="N40" i="9"/>
  <c r="M40" i="9"/>
  <c r="L40" i="9"/>
  <c r="J40" i="9"/>
  <c r="I40" i="9"/>
  <c r="H40" i="9"/>
  <c r="G40" i="9"/>
  <c r="E40" i="9"/>
  <c r="D40" i="9"/>
  <c r="P39" i="9"/>
  <c r="O39" i="9"/>
  <c r="N39" i="9"/>
  <c r="M39" i="9"/>
  <c r="L39" i="9"/>
  <c r="J39" i="9"/>
  <c r="I39" i="9"/>
  <c r="H39" i="9"/>
  <c r="G39" i="9"/>
  <c r="E39" i="9"/>
  <c r="D39" i="9"/>
  <c r="O38" i="9"/>
  <c r="N38" i="9"/>
  <c r="M38" i="9"/>
  <c r="J38" i="9"/>
  <c r="I38" i="9"/>
  <c r="H38" i="9"/>
  <c r="G38" i="9"/>
  <c r="F38" i="9"/>
  <c r="T38" i="9" s="1"/>
  <c r="D38" i="9"/>
  <c r="E38" i="9" s="1"/>
  <c r="O36" i="9"/>
  <c r="N36" i="9"/>
  <c r="M36" i="9"/>
  <c r="L36" i="9"/>
  <c r="K36" i="9"/>
  <c r="J36" i="9"/>
  <c r="I36" i="9"/>
  <c r="H36" i="9"/>
  <c r="G36" i="9"/>
  <c r="D36" i="9"/>
  <c r="E36" i="9" s="1"/>
  <c r="P35" i="9"/>
  <c r="O35" i="9"/>
  <c r="N35" i="9"/>
  <c r="M35" i="9"/>
  <c r="L35" i="9"/>
  <c r="J35" i="9"/>
  <c r="I35" i="9"/>
  <c r="H35" i="9"/>
  <c r="G35" i="9"/>
  <c r="E35" i="9"/>
  <c r="D35" i="9"/>
  <c r="P34" i="9"/>
  <c r="O34" i="9"/>
  <c r="N34" i="9"/>
  <c r="M34" i="9"/>
  <c r="L34" i="9"/>
  <c r="J34" i="9"/>
  <c r="I34" i="9"/>
  <c r="H34" i="9"/>
  <c r="G34" i="9"/>
  <c r="E34" i="9"/>
  <c r="D34" i="9"/>
  <c r="O33" i="9"/>
  <c r="N33" i="9"/>
  <c r="M33" i="9"/>
  <c r="L33" i="9"/>
  <c r="J33" i="9"/>
  <c r="I33" i="9"/>
  <c r="H33" i="9"/>
  <c r="G33" i="9"/>
  <c r="D33" i="9"/>
  <c r="E33" i="9" s="1"/>
  <c r="T31" i="9"/>
  <c r="R31" i="9"/>
  <c r="Q31" i="9"/>
  <c r="P31" i="9"/>
  <c r="N31" i="9"/>
  <c r="M31" i="9"/>
  <c r="L31" i="9"/>
  <c r="U31" i="9" s="1"/>
  <c r="T30" i="9"/>
  <c r="P30" i="9"/>
  <c r="N30" i="9"/>
  <c r="R30" i="9" s="1"/>
  <c r="M30" i="9"/>
  <c r="L30" i="9"/>
  <c r="Q30" i="9" s="1"/>
  <c r="M29" i="9"/>
  <c r="L29" i="9"/>
  <c r="Q29" i="9" s="1"/>
  <c r="M28" i="9"/>
  <c r="L25" i="9" s="1"/>
  <c r="L28" i="9"/>
  <c r="T27" i="9"/>
  <c r="P27" i="9"/>
  <c r="N27" i="9"/>
  <c r="M27" i="9"/>
  <c r="L27" i="9"/>
  <c r="N25" i="9"/>
  <c r="K38" i="9" s="1"/>
  <c r="O22" i="9"/>
  <c r="N22" i="9"/>
  <c r="M22" i="9"/>
  <c r="J22" i="9"/>
  <c r="I22" i="9"/>
  <c r="H22" i="9"/>
  <c r="G22" i="9"/>
  <c r="D22" i="9"/>
  <c r="E22" i="9" s="1"/>
  <c r="P21" i="9"/>
  <c r="O21" i="9"/>
  <c r="N21" i="9"/>
  <c r="M21" i="9"/>
  <c r="L21" i="9"/>
  <c r="J21" i="9"/>
  <c r="I21" i="9"/>
  <c r="H21" i="9"/>
  <c r="G21" i="9"/>
  <c r="E21" i="9"/>
  <c r="D21" i="9"/>
  <c r="P20" i="9"/>
  <c r="O20" i="9"/>
  <c r="N20" i="9"/>
  <c r="M20" i="9"/>
  <c r="L20" i="9"/>
  <c r="J20" i="9"/>
  <c r="I20" i="9"/>
  <c r="H20" i="9"/>
  <c r="G20" i="9"/>
  <c r="E20" i="9"/>
  <c r="D20" i="9"/>
  <c r="O19" i="9"/>
  <c r="N19" i="9"/>
  <c r="M19" i="9"/>
  <c r="J19" i="9"/>
  <c r="I19" i="9"/>
  <c r="H19" i="9"/>
  <c r="G19" i="9"/>
  <c r="D19" i="9"/>
  <c r="E19" i="9" s="1"/>
  <c r="O17" i="9"/>
  <c r="N17" i="9"/>
  <c r="M17" i="9"/>
  <c r="L17" i="9"/>
  <c r="J17" i="9"/>
  <c r="I17" i="9"/>
  <c r="H17" i="9"/>
  <c r="G17" i="9"/>
  <c r="D17" i="9"/>
  <c r="E17" i="9" s="1"/>
  <c r="P16" i="9"/>
  <c r="O16" i="9"/>
  <c r="N16" i="9"/>
  <c r="M16" i="9"/>
  <c r="L16" i="9"/>
  <c r="J16" i="9"/>
  <c r="I16" i="9"/>
  <c r="H16" i="9"/>
  <c r="G16" i="9"/>
  <c r="E16" i="9"/>
  <c r="D16" i="9"/>
  <c r="P15" i="9"/>
  <c r="O15" i="9"/>
  <c r="N15" i="9"/>
  <c r="M15" i="9"/>
  <c r="L15" i="9"/>
  <c r="J15" i="9"/>
  <c r="I15" i="9"/>
  <c r="H15" i="9"/>
  <c r="G15" i="9"/>
  <c r="E15" i="9"/>
  <c r="D15" i="9"/>
  <c r="O14" i="9"/>
  <c r="N14" i="9"/>
  <c r="M14" i="9"/>
  <c r="L14" i="9"/>
  <c r="J14" i="9"/>
  <c r="I14" i="9"/>
  <c r="H14" i="9"/>
  <c r="G14" i="9"/>
  <c r="D14" i="9"/>
  <c r="E14" i="9" s="1"/>
  <c r="T12" i="9"/>
  <c r="R12" i="9"/>
  <c r="Q12" i="9"/>
  <c r="P12" i="9"/>
  <c r="N12" i="9"/>
  <c r="M12" i="9"/>
  <c r="L12" i="9"/>
  <c r="U12" i="9" s="1"/>
  <c r="T11" i="9"/>
  <c r="P11" i="9"/>
  <c r="N11" i="9"/>
  <c r="R11" i="9" s="1"/>
  <c r="M11" i="9"/>
  <c r="L11" i="9"/>
  <c r="Q11" i="9" s="1"/>
  <c r="M10" i="9"/>
  <c r="L10" i="9"/>
  <c r="N10" i="9" s="1"/>
  <c r="R10" i="9" s="1"/>
  <c r="N9" i="9"/>
  <c r="M9" i="9"/>
  <c r="L6" i="9" s="1"/>
  <c r="L9" i="9"/>
  <c r="T8" i="9"/>
  <c r="P8" i="9"/>
  <c r="N8" i="9"/>
  <c r="M8" i="9"/>
  <c r="L8" i="9"/>
  <c r="O8" i="9" s="1"/>
  <c r="N6" i="9"/>
  <c r="K19" i="9" s="1"/>
  <c r="P212" i="8"/>
  <c r="O212" i="8"/>
  <c r="N212" i="8"/>
  <c r="M212" i="8"/>
  <c r="L212" i="8"/>
  <c r="J212" i="8"/>
  <c r="I212" i="8"/>
  <c r="H212" i="8"/>
  <c r="G212" i="8"/>
  <c r="E212" i="8"/>
  <c r="D212" i="8"/>
  <c r="P211" i="8"/>
  <c r="O211" i="8"/>
  <c r="N211" i="8"/>
  <c r="M211" i="8"/>
  <c r="L211" i="8"/>
  <c r="J211" i="8"/>
  <c r="I211" i="8"/>
  <c r="H211" i="8"/>
  <c r="G211" i="8"/>
  <c r="E211" i="8"/>
  <c r="D211" i="8"/>
  <c r="O210" i="8"/>
  <c r="N210" i="8"/>
  <c r="M210" i="8"/>
  <c r="L210" i="8"/>
  <c r="J210" i="8"/>
  <c r="I210" i="8"/>
  <c r="H210" i="8"/>
  <c r="G210" i="8"/>
  <c r="E210" i="8"/>
  <c r="D210" i="8"/>
  <c r="O209" i="8"/>
  <c r="N209" i="8"/>
  <c r="M209" i="8"/>
  <c r="L209" i="8"/>
  <c r="J209" i="8"/>
  <c r="I209" i="8"/>
  <c r="H209" i="8"/>
  <c r="G209" i="8"/>
  <c r="D209" i="8"/>
  <c r="E209" i="8" s="1"/>
  <c r="P207" i="8"/>
  <c r="O207" i="8"/>
  <c r="N207" i="8"/>
  <c r="M207" i="8"/>
  <c r="L207" i="8"/>
  <c r="J207" i="8"/>
  <c r="I207" i="8"/>
  <c r="H207" i="8"/>
  <c r="G207" i="8"/>
  <c r="E207" i="8"/>
  <c r="D207" i="8"/>
  <c r="P206" i="8"/>
  <c r="O206" i="8"/>
  <c r="N206" i="8"/>
  <c r="M206" i="8"/>
  <c r="L206" i="8"/>
  <c r="J206" i="8"/>
  <c r="I206" i="8"/>
  <c r="H206" i="8"/>
  <c r="G206" i="8"/>
  <c r="E206" i="8"/>
  <c r="D206" i="8"/>
  <c r="M202" i="8"/>
  <c r="L202" i="8"/>
  <c r="N202" i="8" s="1"/>
  <c r="R202" i="8" s="1"/>
  <c r="M201" i="8"/>
  <c r="L201" i="8"/>
  <c r="N201" i="8" s="1"/>
  <c r="O201" i="8" s="1"/>
  <c r="M200" i="8"/>
  <c r="L200" i="8"/>
  <c r="N200" i="8" s="1"/>
  <c r="M199" i="8"/>
  <c r="L196" i="8" s="1"/>
  <c r="L199" i="8"/>
  <c r="T198" i="8"/>
  <c r="P198" i="8"/>
  <c r="N198" i="8"/>
  <c r="M198" i="8"/>
  <c r="L198" i="8"/>
  <c r="N196" i="8"/>
  <c r="F211" i="8" s="1"/>
  <c r="P155" i="8"/>
  <c r="O155" i="8"/>
  <c r="N155" i="8"/>
  <c r="M155" i="8"/>
  <c r="L155" i="8"/>
  <c r="J155" i="8"/>
  <c r="I155" i="8"/>
  <c r="H155" i="8"/>
  <c r="G155" i="8"/>
  <c r="E155" i="8"/>
  <c r="D155" i="8"/>
  <c r="P154" i="8"/>
  <c r="O154" i="8"/>
  <c r="N154" i="8"/>
  <c r="M154" i="8"/>
  <c r="L154" i="8"/>
  <c r="J154" i="8"/>
  <c r="I154" i="8"/>
  <c r="H154" i="8"/>
  <c r="G154" i="8"/>
  <c r="E154" i="8"/>
  <c r="D154" i="8"/>
  <c r="P153" i="8"/>
  <c r="O153" i="8"/>
  <c r="N153" i="8"/>
  <c r="M153" i="8"/>
  <c r="L153" i="8"/>
  <c r="J153" i="8"/>
  <c r="I153" i="8"/>
  <c r="H153" i="8"/>
  <c r="G153" i="8"/>
  <c r="E153" i="8"/>
  <c r="D153" i="8"/>
  <c r="P150" i="8"/>
  <c r="O150" i="8"/>
  <c r="N150" i="8"/>
  <c r="M150" i="8"/>
  <c r="L150" i="8"/>
  <c r="J150" i="8"/>
  <c r="I150" i="8"/>
  <c r="H150" i="8"/>
  <c r="G150" i="8"/>
  <c r="E150" i="8"/>
  <c r="D150" i="8"/>
  <c r="P149" i="8"/>
  <c r="O149" i="8"/>
  <c r="N149" i="8"/>
  <c r="M149" i="8"/>
  <c r="L149" i="8"/>
  <c r="J149" i="8"/>
  <c r="I149" i="8"/>
  <c r="H149" i="8"/>
  <c r="G149" i="8"/>
  <c r="E149" i="8"/>
  <c r="D149" i="8"/>
  <c r="P148" i="8"/>
  <c r="O148" i="8"/>
  <c r="N148" i="8"/>
  <c r="M148" i="8"/>
  <c r="L148" i="8"/>
  <c r="J148" i="8"/>
  <c r="I148" i="8"/>
  <c r="H148" i="8"/>
  <c r="G148" i="8"/>
  <c r="E148" i="8"/>
  <c r="D148" i="8"/>
  <c r="T145" i="8"/>
  <c r="P145" i="8"/>
  <c r="N145" i="8"/>
  <c r="M145" i="8"/>
  <c r="L145" i="8"/>
  <c r="T144" i="8"/>
  <c r="P144" i="8"/>
  <c r="N144" i="8"/>
  <c r="M144" i="8"/>
  <c r="L144" i="8"/>
  <c r="M143" i="8"/>
  <c r="L143" i="8"/>
  <c r="M142" i="8"/>
  <c r="L142" i="8"/>
  <c r="T141" i="8"/>
  <c r="P141" i="8"/>
  <c r="N141" i="8"/>
  <c r="M141" i="8"/>
  <c r="L141" i="8"/>
  <c r="N139" i="8"/>
  <c r="F155" i="8" s="1"/>
  <c r="L139" i="8"/>
  <c r="P136" i="8"/>
  <c r="O136" i="8"/>
  <c r="N136" i="8"/>
  <c r="M136" i="8"/>
  <c r="L136" i="8"/>
  <c r="J136" i="8"/>
  <c r="I136" i="8"/>
  <c r="H136" i="8"/>
  <c r="G136" i="8"/>
  <c r="E136" i="8"/>
  <c r="D136" i="8"/>
  <c r="P135" i="8"/>
  <c r="O135" i="8"/>
  <c r="N135" i="8"/>
  <c r="M135" i="8"/>
  <c r="L135" i="8"/>
  <c r="J135" i="8"/>
  <c r="I135" i="8"/>
  <c r="H135" i="8"/>
  <c r="G135" i="8"/>
  <c r="E135" i="8"/>
  <c r="D135" i="8"/>
  <c r="P131" i="8"/>
  <c r="O131" i="8"/>
  <c r="N131" i="8"/>
  <c r="M131" i="8"/>
  <c r="L131" i="8"/>
  <c r="J131" i="8"/>
  <c r="I131" i="8"/>
  <c r="H131" i="8"/>
  <c r="G131" i="8"/>
  <c r="E131" i="8"/>
  <c r="D131" i="8"/>
  <c r="P130" i="8"/>
  <c r="O130" i="8"/>
  <c r="N130" i="8"/>
  <c r="M130" i="8"/>
  <c r="L130" i="8"/>
  <c r="J130" i="8"/>
  <c r="I130" i="8"/>
  <c r="H130" i="8"/>
  <c r="G130" i="8"/>
  <c r="E130" i="8"/>
  <c r="D130" i="8"/>
  <c r="T126" i="8"/>
  <c r="P126" i="8"/>
  <c r="N126" i="8"/>
  <c r="M126" i="8"/>
  <c r="L126" i="8"/>
  <c r="U126" i="8" s="1"/>
  <c r="T125" i="8"/>
  <c r="P125" i="8"/>
  <c r="N125" i="8"/>
  <c r="M125" i="8"/>
  <c r="L125" i="8"/>
  <c r="M124" i="8"/>
  <c r="L124" i="8"/>
  <c r="M123" i="8"/>
  <c r="L123" i="8"/>
  <c r="M122" i="8"/>
  <c r="L122" i="8"/>
  <c r="P117" i="8"/>
  <c r="O117" i="8"/>
  <c r="N117" i="8"/>
  <c r="M117" i="8"/>
  <c r="L117" i="8"/>
  <c r="J117" i="8"/>
  <c r="I117" i="8"/>
  <c r="H117" i="8"/>
  <c r="G117" i="8"/>
  <c r="E117" i="8"/>
  <c r="D117" i="8"/>
  <c r="P116" i="8"/>
  <c r="O116" i="8"/>
  <c r="N116" i="8"/>
  <c r="M116" i="8"/>
  <c r="L116" i="8"/>
  <c r="J116" i="8"/>
  <c r="I116" i="8"/>
  <c r="H116" i="8"/>
  <c r="G116" i="8"/>
  <c r="E116" i="8"/>
  <c r="D116" i="8"/>
  <c r="P112" i="8"/>
  <c r="O112" i="8"/>
  <c r="N112" i="8"/>
  <c r="M112" i="8"/>
  <c r="L112" i="8"/>
  <c r="J112" i="8"/>
  <c r="I112" i="8"/>
  <c r="H112" i="8"/>
  <c r="G112" i="8"/>
  <c r="E112" i="8"/>
  <c r="D112" i="8"/>
  <c r="P111" i="8"/>
  <c r="O111" i="8"/>
  <c r="N111" i="8"/>
  <c r="M111" i="8"/>
  <c r="L111" i="8"/>
  <c r="J111" i="8"/>
  <c r="I111" i="8"/>
  <c r="H111" i="8"/>
  <c r="G111" i="8"/>
  <c r="E111" i="8"/>
  <c r="D111" i="8"/>
  <c r="T107" i="8"/>
  <c r="P107" i="8"/>
  <c r="N107" i="8"/>
  <c r="M107" i="8"/>
  <c r="L107" i="8"/>
  <c r="U107" i="8" s="1"/>
  <c r="T106" i="8"/>
  <c r="P106" i="8"/>
  <c r="N106" i="8"/>
  <c r="M106" i="8"/>
  <c r="L106" i="8"/>
  <c r="M105" i="8"/>
  <c r="L105" i="8"/>
  <c r="M104" i="8"/>
  <c r="L104" i="8"/>
  <c r="N104" i="8" s="1"/>
  <c r="T103" i="8"/>
  <c r="P103" i="8"/>
  <c r="N103" i="8"/>
  <c r="M103" i="8"/>
  <c r="L103" i="8"/>
  <c r="N101" i="8"/>
  <c r="K114" i="8" s="1"/>
  <c r="L101" i="8"/>
  <c r="P97" i="8"/>
  <c r="O97" i="8"/>
  <c r="N97" i="8"/>
  <c r="M97" i="8"/>
  <c r="L97" i="8"/>
  <c r="J97" i="8"/>
  <c r="I97" i="8"/>
  <c r="H97" i="8"/>
  <c r="G97" i="8"/>
  <c r="E97" i="8"/>
  <c r="D97" i="8"/>
  <c r="P92" i="8"/>
  <c r="O92" i="8"/>
  <c r="N92" i="8"/>
  <c r="M92" i="8"/>
  <c r="L92" i="8"/>
  <c r="J92" i="8"/>
  <c r="I92" i="8"/>
  <c r="H92" i="8"/>
  <c r="G92" i="8"/>
  <c r="E92" i="8"/>
  <c r="D92" i="8"/>
  <c r="T88" i="8"/>
  <c r="P88" i="8"/>
  <c r="N88" i="8"/>
  <c r="M88" i="8"/>
  <c r="L88" i="8"/>
  <c r="U88" i="8" s="1"/>
  <c r="T87" i="8"/>
  <c r="P87" i="8"/>
  <c r="N87" i="8"/>
  <c r="M87" i="8"/>
  <c r="L87" i="8"/>
  <c r="M86" i="8"/>
  <c r="L86" i="8"/>
  <c r="N86" i="8" s="1"/>
  <c r="M85" i="8"/>
  <c r="L85" i="8"/>
  <c r="T84" i="8"/>
  <c r="P84" i="8"/>
  <c r="N84" i="8"/>
  <c r="M84" i="8"/>
  <c r="L84" i="8"/>
  <c r="N82" i="8"/>
  <c r="K96" i="8" s="1"/>
  <c r="L82" i="8"/>
  <c r="P79" i="8"/>
  <c r="O79" i="8"/>
  <c r="N79" i="8"/>
  <c r="M79" i="8"/>
  <c r="L79" i="8"/>
  <c r="J79" i="8"/>
  <c r="I79" i="8"/>
  <c r="H79" i="8"/>
  <c r="G79" i="8"/>
  <c r="E79" i="8"/>
  <c r="D79" i="8"/>
  <c r="P78" i="8"/>
  <c r="O78" i="8"/>
  <c r="N78" i="8"/>
  <c r="M78" i="8"/>
  <c r="L78" i="8"/>
  <c r="J78" i="8"/>
  <c r="I78" i="8"/>
  <c r="H78" i="8"/>
  <c r="G78" i="8"/>
  <c r="E78" i="8"/>
  <c r="D78" i="8"/>
  <c r="P77" i="8"/>
  <c r="O77" i="8"/>
  <c r="N77" i="8"/>
  <c r="M77" i="8"/>
  <c r="L77" i="8"/>
  <c r="J77" i="8"/>
  <c r="I77" i="8"/>
  <c r="H77" i="8"/>
  <c r="G77" i="8"/>
  <c r="E77" i="8"/>
  <c r="D77" i="8"/>
  <c r="P74" i="8"/>
  <c r="O74" i="8"/>
  <c r="N74" i="8"/>
  <c r="M74" i="8"/>
  <c r="L74" i="8"/>
  <c r="J74" i="8"/>
  <c r="I74" i="8"/>
  <c r="H74" i="8"/>
  <c r="G74" i="8"/>
  <c r="E74" i="8"/>
  <c r="D74" i="8"/>
  <c r="P73" i="8"/>
  <c r="O73" i="8"/>
  <c r="N73" i="8"/>
  <c r="M73" i="8"/>
  <c r="L73" i="8"/>
  <c r="J73" i="8"/>
  <c r="I73" i="8"/>
  <c r="H73" i="8"/>
  <c r="G73" i="8"/>
  <c r="E73" i="8"/>
  <c r="D73" i="8"/>
  <c r="P72" i="8"/>
  <c r="O72" i="8"/>
  <c r="N72" i="8"/>
  <c r="M72" i="8"/>
  <c r="L72" i="8"/>
  <c r="J72" i="8"/>
  <c r="I72" i="8"/>
  <c r="H72" i="8"/>
  <c r="G72" i="8"/>
  <c r="E72" i="8"/>
  <c r="D72" i="8"/>
  <c r="T69" i="8"/>
  <c r="P69" i="8"/>
  <c r="N69" i="8"/>
  <c r="M69" i="8"/>
  <c r="L69" i="8"/>
  <c r="U69" i="8" s="1"/>
  <c r="T68" i="8"/>
  <c r="P68" i="8"/>
  <c r="N68" i="8"/>
  <c r="M68" i="8"/>
  <c r="L68" i="8"/>
  <c r="M67" i="8"/>
  <c r="L67" i="8"/>
  <c r="N67" i="8" s="1"/>
  <c r="M66" i="8"/>
  <c r="L66" i="8"/>
  <c r="T65" i="8"/>
  <c r="P65" i="8"/>
  <c r="N65" i="8"/>
  <c r="M65" i="8"/>
  <c r="L65" i="8"/>
  <c r="N63" i="8"/>
  <c r="F78" i="8" s="1"/>
  <c r="L63" i="8"/>
  <c r="P60" i="8"/>
  <c r="O60" i="8"/>
  <c r="N60" i="8"/>
  <c r="M60" i="8"/>
  <c r="L60" i="8"/>
  <c r="J60" i="8"/>
  <c r="I60" i="8"/>
  <c r="H60" i="8"/>
  <c r="G60" i="8"/>
  <c r="E60" i="8"/>
  <c r="D60" i="8"/>
  <c r="P59" i="8"/>
  <c r="O59" i="8"/>
  <c r="N59" i="8"/>
  <c r="M59" i="8"/>
  <c r="L59" i="8"/>
  <c r="J59" i="8"/>
  <c r="I59" i="8"/>
  <c r="H59" i="8"/>
  <c r="G59" i="8"/>
  <c r="E59" i="8"/>
  <c r="D59" i="8"/>
  <c r="O58" i="8"/>
  <c r="N58" i="8"/>
  <c r="J58" i="8"/>
  <c r="I58" i="8"/>
  <c r="P55" i="8"/>
  <c r="O55" i="8"/>
  <c r="N55" i="8"/>
  <c r="M55" i="8"/>
  <c r="L55" i="8"/>
  <c r="J55" i="8"/>
  <c r="I55" i="8"/>
  <c r="H55" i="8"/>
  <c r="G55" i="8"/>
  <c r="E55" i="8"/>
  <c r="D55" i="8"/>
  <c r="P54" i="8"/>
  <c r="O54" i="8"/>
  <c r="N54" i="8"/>
  <c r="M54" i="8"/>
  <c r="L54" i="8"/>
  <c r="J54" i="8"/>
  <c r="I54" i="8"/>
  <c r="H54" i="8"/>
  <c r="G54" i="8"/>
  <c r="E54" i="8"/>
  <c r="D54" i="8"/>
  <c r="P53" i="8"/>
  <c r="O53" i="8"/>
  <c r="N53" i="8"/>
  <c r="M53" i="8"/>
  <c r="L53" i="8"/>
  <c r="J53" i="8"/>
  <c r="I53" i="8"/>
  <c r="H53" i="8"/>
  <c r="G53" i="8"/>
  <c r="E53" i="8"/>
  <c r="D53" i="8"/>
  <c r="T50" i="8"/>
  <c r="P50" i="8"/>
  <c r="N50" i="8"/>
  <c r="R50" i="8" s="1"/>
  <c r="M50" i="8"/>
  <c r="L50" i="8"/>
  <c r="T49" i="8"/>
  <c r="P49" i="8"/>
  <c r="N49" i="8"/>
  <c r="M49" i="8"/>
  <c r="L49" i="8"/>
  <c r="M48" i="8"/>
  <c r="L48" i="8"/>
  <c r="M47" i="8"/>
  <c r="L47" i="8"/>
  <c r="N47" i="8" s="1"/>
  <c r="T46" i="8"/>
  <c r="P46" i="8"/>
  <c r="N46" i="8"/>
  <c r="M46" i="8"/>
  <c r="L46" i="8"/>
  <c r="N44" i="8"/>
  <c r="K58" i="8" s="1"/>
  <c r="L44" i="8"/>
  <c r="P40" i="8"/>
  <c r="O40" i="8"/>
  <c r="N40" i="8"/>
  <c r="M40" i="8"/>
  <c r="L40" i="8"/>
  <c r="J40" i="8"/>
  <c r="I40" i="8"/>
  <c r="H40" i="8"/>
  <c r="G40" i="8"/>
  <c r="E40" i="8"/>
  <c r="D40" i="8"/>
  <c r="P39" i="8"/>
  <c r="O39" i="8"/>
  <c r="N39" i="8"/>
  <c r="M39" i="8"/>
  <c r="L39" i="8"/>
  <c r="J39" i="8"/>
  <c r="I39" i="8"/>
  <c r="H39" i="8"/>
  <c r="G39" i="8"/>
  <c r="E39" i="8"/>
  <c r="D39" i="8"/>
  <c r="P35" i="8"/>
  <c r="O35" i="8"/>
  <c r="N35" i="8"/>
  <c r="M35" i="8"/>
  <c r="L35" i="8"/>
  <c r="J35" i="8"/>
  <c r="I35" i="8"/>
  <c r="H35" i="8"/>
  <c r="G35" i="8"/>
  <c r="E35" i="8"/>
  <c r="D35" i="8"/>
  <c r="P34" i="8"/>
  <c r="O34" i="8"/>
  <c r="N34" i="8"/>
  <c r="M34" i="8"/>
  <c r="L34" i="8"/>
  <c r="J34" i="8"/>
  <c r="I34" i="8"/>
  <c r="H34" i="8"/>
  <c r="G34" i="8"/>
  <c r="E34" i="8"/>
  <c r="D34" i="8"/>
  <c r="T31" i="8"/>
  <c r="P31" i="8"/>
  <c r="N31" i="8"/>
  <c r="R31" i="8" s="1"/>
  <c r="M31" i="8"/>
  <c r="L31" i="8"/>
  <c r="Q31" i="8" s="1"/>
  <c r="T30" i="8"/>
  <c r="P30" i="8"/>
  <c r="N30" i="8"/>
  <c r="M30" i="8"/>
  <c r="L30" i="8"/>
  <c r="M29" i="8"/>
  <c r="L29" i="8"/>
  <c r="N29" i="8" s="1"/>
  <c r="M28" i="8"/>
  <c r="L28" i="8"/>
  <c r="T27" i="8"/>
  <c r="P27" i="8"/>
  <c r="N27" i="8"/>
  <c r="M27" i="8"/>
  <c r="L27" i="8"/>
  <c r="N25" i="8"/>
  <c r="K38" i="8" s="1"/>
  <c r="L25" i="8"/>
  <c r="P22" i="8"/>
  <c r="O22" i="8"/>
  <c r="N22" i="8"/>
  <c r="M22" i="8"/>
  <c r="L22" i="8"/>
  <c r="J22" i="8"/>
  <c r="I22" i="8"/>
  <c r="H22" i="8"/>
  <c r="G22" i="8"/>
  <c r="E22" i="8"/>
  <c r="D22" i="8"/>
  <c r="P21" i="8"/>
  <c r="O21" i="8"/>
  <c r="N21" i="8"/>
  <c r="M21" i="8"/>
  <c r="L21" i="8"/>
  <c r="J21" i="8"/>
  <c r="I21" i="8"/>
  <c r="H21" i="8"/>
  <c r="G21" i="8"/>
  <c r="E21" i="8"/>
  <c r="D21" i="8"/>
  <c r="P20" i="8"/>
  <c r="O20" i="8"/>
  <c r="N20" i="8"/>
  <c r="M20" i="8"/>
  <c r="L20" i="8"/>
  <c r="J20" i="8"/>
  <c r="I20" i="8"/>
  <c r="H20" i="8"/>
  <c r="G20" i="8"/>
  <c r="E20" i="8"/>
  <c r="D20" i="8"/>
  <c r="P19" i="8"/>
  <c r="O19" i="8"/>
  <c r="N19" i="8"/>
  <c r="M19" i="8"/>
  <c r="L19" i="8"/>
  <c r="J19" i="8"/>
  <c r="I19" i="8"/>
  <c r="H19" i="8"/>
  <c r="G19" i="8"/>
  <c r="E19" i="8"/>
  <c r="D19" i="8"/>
  <c r="P17" i="8"/>
  <c r="O17" i="8"/>
  <c r="N17" i="8"/>
  <c r="M17" i="8"/>
  <c r="L17" i="8"/>
  <c r="J17" i="8"/>
  <c r="I17" i="8"/>
  <c r="H17" i="8"/>
  <c r="G17" i="8"/>
  <c r="E17" i="8"/>
  <c r="D17" i="8"/>
  <c r="P16" i="8"/>
  <c r="O16" i="8"/>
  <c r="N16" i="8"/>
  <c r="M16" i="8"/>
  <c r="L16" i="8"/>
  <c r="J16" i="8"/>
  <c r="I16" i="8"/>
  <c r="H16" i="8"/>
  <c r="G16" i="8"/>
  <c r="E16" i="8"/>
  <c r="D16" i="8"/>
  <c r="P15" i="8"/>
  <c r="O15" i="8"/>
  <c r="N15" i="8"/>
  <c r="M15" i="8"/>
  <c r="L15" i="8"/>
  <c r="J15" i="8"/>
  <c r="I15" i="8"/>
  <c r="H15" i="8"/>
  <c r="G15" i="8"/>
  <c r="E15" i="8"/>
  <c r="D15" i="8"/>
  <c r="T12" i="8"/>
  <c r="P12" i="8"/>
  <c r="N12" i="8"/>
  <c r="R12" i="8" s="1"/>
  <c r="M12" i="8"/>
  <c r="L12" i="8"/>
  <c r="Q12" i="8" s="1"/>
  <c r="T11" i="8"/>
  <c r="P11" i="8"/>
  <c r="N11" i="8"/>
  <c r="M11" i="8"/>
  <c r="L11" i="8"/>
  <c r="M10" i="8"/>
  <c r="L10" i="8"/>
  <c r="N10" i="8" s="1"/>
  <c r="M9" i="8"/>
  <c r="L6" i="8" s="1"/>
  <c r="L9" i="8"/>
  <c r="T8" i="8"/>
  <c r="P8" i="8"/>
  <c r="N8" i="8"/>
  <c r="M8" i="8"/>
  <c r="L8" i="8"/>
  <c r="N6" i="8"/>
  <c r="K19" i="8" s="1"/>
  <c r="P193" i="7"/>
  <c r="O193" i="7"/>
  <c r="N193" i="7"/>
  <c r="M193" i="7"/>
  <c r="L193" i="7"/>
  <c r="J193" i="7"/>
  <c r="I193" i="7"/>
  <c r="H193" i="7"/>
  <c r="G193" i="7"/>
  <c r="E193" i="7"/>
  <c r="P192" i="7"/>
  <c r="O192" i="7"/>
  <c r="N192" i="7"/>
  <c r="M192" i="7"/>
  <c r="L192" i="7"/>
  <c r="J192" i="7"/>
  <c r="I192" i="7"/>
  <c r="H192" i="7"/>
  <c r="G192" i="7"/>
  <c r="E192" i="7"/>
  <c r="P191" i="7"/>
  <c r="O191" i="7"/>
  <c r="N191" i="7"/>
  <c r="M191" i="7"/>
  <c r="L191" i="7"/>
  <c r="J191" i="7"/>
  <c r="I191" i="7"/>
  <c r="H191" i="7"/>
  <c r="G191" i="7"/>
  <c r="E191" i="7"/>
  <c r="P190" i="7"/>
  <c r="O190" i="7"/>
  <c r="N190" i="7"/>
  <c r="M190" i="7"/>
  <c r="L190" i="7"/>
  <c r="J190" i="7"/>
  <c r="I190" i="7"/>
  <c r="H190" i="7"/>
  <c r="G190" i="7"/>
  <c r="E190" i="7"/>
  <c r="P188" i="7"/>
  <c r="O188" i="7"/>
  <c r="N188" i="7"/>
  <c r="M188" i="7"/>
  <c r="L188" i="7"/>
  <c r="J188" i="7"/>
  <c r="I188" i="7"/>
  <c r="H188" i="7"/>
  <c r="G188" i="7"/>
  <c r="E188" i="7"/>
  <c r="P187" i="7"/>
  <c r="O187" i="7"/>
  <c r="N187" i="7"/>
  <c r="M187" i="7"/>
  <c r="L187" i="7"/>
  <c r="J187" i="7"/>
  <c r="I187" i="7"/>
  <c r="H187" i="7"/>
  <c r="G187" i="7"/>
  <c r="E187" i="7"/>
  <c r="P174" i="7"/>
  <c r="O174" i="7"/>
  <c r="N174" i="7"/>
  <c r="M174" i="7"/>
  <c r="L174" i="7"/>
  <c r="J174" i="7"/>
  <c r="I174" i="7"/>
  <c r="H174" i="7"/>
  <c r="G174" i="7"/>
  <c r="E174" i="7"/>
  <c r="P173" i="7"/>
  <c r="O173" i="7"/>
  <c r="N173" i="7"/>
  <c r="M173" i="7"/>
  <c r="L173" i="7"/>
  <c r="J173" i="7"/>
  <c r="I173" i="7"/>
  <c r="H173" i="7"/>
  <c r="G173" i="7"/>
  <c r="E173" i="7"/>
  <c r="P172" i="7"/>
  <c r="O172" i="7"/>
  <c r="N172" i="7"/>
  <c r="M172" i="7"/>
  <c r="L172" i="7"/>
  <c r="J172" i="7"/>
  <c r="I172" i="7"/>
  <c r="H172" i="7"/>
  <c r="G172" i="7"/>
  <c r="E172" i="7"/>
  <c r="P171" i="7"/>
  <c r="O171" i="7"/>
  <c r="N171" i="7"/>
  <c r="M171" i="7"/>
  <c r="L171" i="7"/>
  <c r="J171" i="7"/>
  <c r="I171" i="7"/>
  <c r="H171" i="7"/>
  <c r="G171" i="7"/>
  <c r="E171" i="7"/>
  <c r="P169" i="7"/>
  <c r="O169" i="7"/>
  <c r="N169" i="7"/>
  <c r="M169" i="7"/>
  <c r="L169" i="7"/>
  <c r="J169" i="7"/>
  <c r="I169" i="7"/>
  <c r="H169" i="7"/>
  <c r="G169" i="7"/>
  <c r="E169" i="7"/>
  <c r="P168" i="7"/>
  <c r="O168" i="7"/>
  <c r="N168" i="7"/>
  <c r="M168" i="7"/>
  <c r="L168" i="7"/>
  <c r="J168" i="7"/>
  <c r="I168" i="7"/>
  <c r="H168" i="7"/>
  <c r="G168" i="7"/>
  <c r="E168" i="7"/>
  <c r="P166" i="7"/>
  <c r="O166" i="7"/>
  <c r="N166" i="7"/>
  <c r="M166" i="7"/>
  <c r="L166" i="7"/>
  <c r="J166" i="7"/>
  <c r="I166" i="7"/>
  <c r="H166" i="7"/>
  <c r="G166" i="7"/>
  <c r="E166" i="7"/>
  <c r="P155" i="7"/>
  <c r="O155" i="7"/>
  <c r="N155" i="7"/>
  <c r="M155" i="7"/>
  <c r="L155" i="7"/>
  <c r="J155" i="7"/>
  <c r="I155" i="7"/>
  <c r="H155" i="7"/>
  <c r="G155" i="7"/>
  <c r="E155" i="7"/>
  <c r="P154" i="7"/>
  <c r="O154" i="7"/>
  <c r="N154" i="7"/>
  <c r="M154" i="7"/>
  <c r="L154" i="7"/>
  <c r="J154" i="7"/>
  <c r="I154" i="7"/>
  <c r="H154" i="7"/>
  <c r="G154" i="7"/>
  <c r="E154" i="7"/>
  <c r="P153" i="7"/>
  <c r="O153" i="7"/>
  <c r="N153" i="7"/>
  <c r="M153" i="7"/>
  <c r="L153" i="7"/>
  <c r="J153" i="7"/>
  <c r="I153" i="7"/>
  <c r="H153" i="7"/>
  <c r="G153" i="7"/>
  <c r="E153" i="7"/>
  <c r="P152" i="7"/>
  <c r="O152" i="7"/>
  <c r="N152" i="7"/>
  <c r="M152" i="7"/>
  <c r="L152" i="7"/>
  <c r="J152" i="7"/>
  <c r="I152" i="7"/>
  <c r="H152" i="7"/>
  <c r="G152" i="7"/>
  <c r="E152" i="7"/>
  <c r="P150" i="7"/>
  <c r="O150" i="7"/>
  <c r="N150" i="7"/>
  <c r="M150" i="7"/>
  <c r="L150" i="7"/>
  <c r="J150" i="7"/>
  <c r="I150" i="7"/>
  <c r="H150" i="7"/>
  <c r="G150" i="7"/>
  <c r="E150" i="7"/>
  <c r="P149" i="7"/>
  <c r="O149" i="7"/>
  <c r="N149" i="7"/>
  <c r="M149" i="7"/>
  <c r="L149" i="7"/>
  <c r="J149" i="7"/>
  <c r="I149" i="7"/>
  <c r="H149" i="7"/>
  <c r="G149" i="7"/>
  <c r="E149" i="7"/>
  <c r="P147" i="7"/>
  <c r="O147" i="7"/>
  <c r="N147" i="7"/>
  <c r="M147" i="7"/>
  <c r="L147" i="7"/>
  <c r="J147" i="7"/>
  <c r="I147" i="7"/>
  <c r="H147" i="7"/>
  <c r="G147" i="7"/>
  <c r="E147" i="7"/>
  <c r="P136" i="7"/>
  <c r="O136" i="7"/>
  <c r="N136" i="7"/>
  <c r="M136" i="7"/>
  <c r="L136" i="7"/>
  <c r="J136" i="7"/>
  <c r="I136" i="7"/>
  <c r="H136" i="7"/>
  <c r="G136" i="7"/>
  <c r="E136" i="7"/>
  <c r="P135" i="7"/>
  <c r="O135" i="7"/>
  <c r="N135" i="7"/>
  <c r="M135" i="7"/>
  <c r="L135" i="7"/>
  <c r="J135" i="7"/>
  <c r="I135" i="7"/>
  <c r="H135" i="7"/>
  <c r="G135" i="7"/>
  <c r="E135" i="7"/>
  <c r="P134" i="7"/>
  <c r="O134" i="7"/>
  <c r="N134" i="7"/>
  <c r="M134" i="7"/>
  <c r="L134" i="7"/>
  <c r="J134" i="7"/>
  <c r="I134" i="7"/>
  <c r="H134" i="7"/>
  <c r="G134" i="7"/>
  <c r="E134" i="7"/>
  <c r="P133" i="7"/>
  <c r="O133" i="7"/>
  <c r="N133" i="7"/>
  <c r="M133" i="7"/>
  <c r="L133" i="7"/>
  <c r="J133" i="7"/>
  <c r="I133" i="7"/>
  <c r="H133" i="7"/>
  <c r="G133" i="7"/>
  <c r="E133" i="7"/>
  <c r="P131" i="7"/>
  <c r="O131" i="7"/>
  <c r="N131" i="7"/>
  <c r="M131" i="7"/>
  <c r="L131" i="7"/>
  <c r="J131" i="7"/>
  <c r="I131" i="7"/>
  <c r="H131" i="7"/>
  <c r="G131" i="7"/>
  <c r="E131" i="7"/>
  <c r="P130" i="7"/>
  <c r="O130" i="7"/>
  <c r="N130" i="7"/>
  <c r="M130" i="7"/>
  <c r="L130" i="7"/>
  <c r="J130" i="7"/>
  <c r="I130" i="7"/>
  <c r="H130" i="7"/>
  <c r="G130" i="7"/>
  <c r="E130" i="7"/>
  <c r="P129" i="7"/>
  <c r="O129" i="7"/>
  <c r="N129" i="7"/>
  <c r="M129" i="7"/>
  <c r="L129" i="7"/>
  <c r="J129" i="7"/>
  <c r="I129" i="7"/>
  <c r="H129" i="7"/>
  <c r="G129" i="7"/>
  <c r="E129" i="7"/>
  <c r="P117" i="7"/>
  <c r="O117" i="7"/>
  <c r="N117" i="7"/>
  <c r="M117" i="7"/>
  <c r="L117" i="7"/>
  <c r="J117" i="7"/>
  <c r="I117" i="7"/>
  <c r="H117" i="7"/>
  <c r="G117" i="7"/>
  <c r="E117" i="7"/>
  <c r="P116" i="7"/>
  <c r="O116" i="7"/>
  <c r="N116" i="7"/>
  <c r="M116" i="7"/>
  <c r="L116" i="7"/>
  <c r="J116" i="7"/>
  <c r="I116" i="7"/>
  <c r="H116" i="7"/>
  <c r="G116" i="7"/>
  <c r="E116" i="7"/>
  <c r="P115" i="7"/>
  <c r="O115" i="7"/>
  <c r="N115" i="7"/>
  <c r="M115" i="7"/>
  <c r="L115" i="7"/>
  <c r="J115" i="7"/>
  <c r="I115" i="7"/>
  <c r="H115" i="7"/>
  <c r="G115" i="7"/>
  <c r="E115" i="7"/>
  <c r="P114" i="7"/>
  <c r="O114" i="7"/>
  <c r="N114" i="7"/>
  <c r="M114" i="7"/>
  <c r="L114" i="7"/>
  <c r="J114" i="7"/>
  <c r="I114" i="7"/>
  <c r="H114" i="7"/>
  <c r="G114" i="7"/>
  <c r="E114" i="7"/>
  <c r="P112" i="7"/>
  <c r="O112" i="7"/>
  <c r="N112" i="7"/>
  <c r="M112" i="7"/>
  <c r="L112" i="7"/>
  <c r="J112" i="7"/>
  <c r="I112" i="7"/>
  <c r="H112" i="7"/>
  <c r="G112" i="7"/>
  <c r="E112" i="7"/>
  <c r="P111" i="7"/>
  <c r="O111" i="7"/>
  <c r="N111" i="7"/>
  <c r="M111" i="7"/>
  <c r="L111" i="7"/>
  <c r="J111" i="7"/>
  <c r="I111" i="7"/>
  <c r="H111" i="7"/>
  <c r="G111" i="7"/>
  <c r="E111" i="7"/>
  <c r="P109" i="7"/>
  <c r="O109" i="7"/>
  <c r="N109" i="7"/>
  <c r="M109" i="7"/>
  <c r="L109" i="7"/>
  <c r="J109" i="7"/>
  <c r="I109" i="7"/>
  <c r="H109" i="7"/>
  <c r="G109" i="7"/>
  <c r="E109" i="7"/>
  <c r="P98" i="7"/>
  <c r="O98" i="7"/>
  <c r="N98" i="7"/>
  <c r="M98" i="7"/>
  <c r="L98" i="7"/>
  <c r="J98" i="7"/>
  <c r="I98" i="7"/>
  <c r="H98" i="7"/>
  <c r="G98" i="7"/>
  <c r="E98" i="7"/>
  <c r="P97" i="7"/>
  <c r="O97" i="7"/>
  <c r="N97" i="7"/>
  <c r="M97" i="7"/>
  <c r="L97" i="7"/>
  <c r="J97" i="7"/>
  <c r="I97" i="7"/>
  <c r="H97" i="7"/>
  <c r="G97" i="7"/>
  <c r="E97" i="7"/>
  <c r="P96" i="7"/>
  <c r="O96" i="7"/>
  <c r="N96" i="7"/>
  <c r="M96" i="7"/>
  <c r="L96" i="7"/>
  <c r="J96" i="7"/>
  <c r="I96" i="7"/>
  <c r="H96" i="7"/>
  <c r="G96" i="7"/>
  <c r="E96" i="7"/>
  <c r="P95" i="7"/>
  <c r="O95" i="7"/>
  <c r="N95" i="7"/>
  <c r="M95" i="7"/>
  <c r="L95" i="7"/>
  <c r="J95" i="7"/>
  <c r="I95" i="7"/>
  <c r="H95" i="7"/>
  <c r="G95" i="7"/>
  <c r="E95" i="7"/>
  <c r="P93" i="7"/>
  <c r="O93" i="7"/>
  <c r="N93" i="7"/>
  <c r="M93" i="7"/>
  <c r="L93" i="7"/>
  <c r="J93" i="7"/>
  <c r="I93" i="7"/>
  <c r="H93" i="7"/>
  <c r="G93" i="7"/>
  <c r="E93" i="7"/>
  <c r="P92" i="7"/>
  <c r="O92" i="7"/>
  <c r="N92" i="7"/>
  <c r="M92" i="7"/>
  <c r="L92" i="7"/>
  <c r="J92" i="7"/>
  <c r="I92" i="7"/>
  <c r="H92" i="7"/>
  <c r="G92" i="7"/>
  <c r="E92" i="7"/>
  <c r="P91" i="7"/>
  <c r="O91" i="7"/>
  <c r="N91" i="7"/>
  <c r="M91" i="7"/>
  <c r="L91" i="7"/>
  <c r="J91" i="7"/>
  <c r="I91" i="7"/>
  <c r="H91" i="7"/>
  <c r="G91" i="7"/>
  <c r="E91" i="7"/>
  <c r="P79" i="7"/>
  <c r="O79" i="7"/>
  <c r="N79" i="7"/>
  <c r="M79" i="7"/>
  <c r="L79" i="7"/>
  <c r="J79" i="7"/>
  <c r="I79" i="7"/>
  <c r="H79" i="7"/>
  <c r="G79" i="7"/>
  <c r="E79" i="7"/>
  <c r="P78" i="7"/>
  <c r="O78" i="7"/>
  <c r="N78" i="7"/>
  <c r="M78" i="7"/>
  <c r="L78" i="7"/>
  <c r="J78" i="7"/>
  <c r="I78" i="7"/>
  <c r="H78" i="7"/>
  <c r="G78" i="7"/>
  <c r="E78" i="7"/>
  <c r="P77" i="7"/>
  <c r="O77" i="7"/>
  <c r="N77" i="7"/>
  <c r="M77" i="7"/>
  <c r="L77" i="7"/>
  <c r="J77" i="7"/>
  <c r="I77" i="7"/>
  <c r="H77" i="7"/>
  <c r="G77" i="7"/>
  <c r="E77" i="7"/>
  <c r="P76" i="7"/>
  <c r="O76" i="7"/>
  <c r="N76" i="7"/>
  <c r="M76" i="7"/>
  <c r="L76" i="7"/>
  <c r="J76" i="7"/>
  <c r="I76" i="7"/>
  <c r="H76" i="7"/>
  <c r="G76" i="7"/>
  <c r="E76" i="7"/>
  <c r="P74" i="7"/>
  <c r="O74" i="7"/>
  <c r="N74" i="7"/>
  <c r="M74" i="7"/>
  <c r="L74" i="7"/>
  <c r="J74" i="7"/>
  <c r="I74" i="7"/>
  <c r="H74" i="7"/>
  <c r="G74" i="7"/>
  <c r="E74" i="7"/>
  <c r="P60" i="7"/>
  <c r="O60" i="7"/>
  <c r="N60" i="7"/>
  <c r="M60" i="7"/>
  <c r="L60" i="7"/>
  <c r="J60" i="7"/>
  <c r="I60" i="7"/>
  <c r="H60" i="7"/>
  <c r="G60" i="7"/>
  <c r="E60" i="7"/>
  <c r="P59" i="7"/>
  <c r="O59" i="7"/>
  <c r="N59" i="7"/>
  <c r="M59" i="7"/>
  <c r="L59" i="7"/>
  <c r="J59" i="7"/>
  <c r="I59" i="7"/>
  <c r="H59" i="7"/>
  <c r="G59" i="7"/>
  <c r="E59" i="7"/>
  <c r="P57" i="7"/>
  <c r="O57" i="7"/>
  <c r="N57" i="7"/>
  <c r="M57" i="7"/>
  <c r="L57" i="7"/>
  <c r="J57" i="7"/>
  <c r="I57" i="7"/>
  <c r="H57" i="7"/>
  <c r="G57" i="7"/>
  <c r="E57" i="7"/>
  <c r="P55" i="7"/>
  <c r="O55" i="7"/>
  <c r="N55" i="7"/>
  <c r="M55" i="7"/>
  <c r="L55" i="7"/>
  <c r="J55" i="7"/>
  <c r="I55" i="7"/>
  <c r="H55" i="7"/>
  <c r="G55" i="7"/>
  <c r="E55" i="7"/>
  <c r="P41" i="7"/>
  <c r="O41" i="7"/>
  <c r="N41" i="7"/>
  <c r="M41" i="7"/>
  <c r="L41" i="7"/>
  <c r="J41" i="7"/>
  <c r="I41" i="7"/>
  <c r="H41" i="7"/>
  <c r="G41" i="7"/>
  <c r="E41" i="7"/>
  <c r="P40" i="7"/>
  <c r="O40" i="7"/>
  <c r="N40" i="7"/>
  <c r="M40" i="7"/>
  <c r="L40" i="7"/>
  <c r="J40" i="7"/>
  <c r="I40" i="7"/>
  <c r="H40" i="7"/>
  <c r="G40" i="7"/>
  <c r="E40" i="7"/>
  <c r="P36" i="7"/>
  <c r="O36" i="7"/>
  <c r="N36" i="7"/>
  <c r="M36" i="7"/>
  <c r="L36" i="7"/>
  <c r="K36" i="7"/>
  <c r="J36" i="7"/>
  <c r="I36" i="7"/>
  <c r="H36" i="7"/>
  <c r="G36" i="7"/>
  <c r="E36" i="7"/>
  <c r="P35" i="7"/>
  <c r="O35" i="7"/>
  <c r="N35" i="7"/>
  <c r="M35" i="7"/>
  <c r="L35" i="7"/>
  <c r="J35" i="7"/>
  <c r="I35" i="7"/>
  <c r="H35" i="7"/>
  <c r="G35" i="7"/>
  <c r="E35" i="7"/>
  <c r="K34" i="7"/>
  <c r="P22" i="7"/>
  <c r="O22" i="7"/>
  <c r="N22" i="7"/>
  <c r="M22" i="7"/>
  <c r="L22" i="7"/>
  <c r="J22" i="7"/>
  <c r="I22" i="7"/>
  <c r="H22" i="7"/>
  <c r="G22" i="7"/>
  <c r="E22" i="7"/>
  <c r="P21" i="7"/>
  <c r="O21" i="7"/>
  <c r="N21" i="7"/>
  <c r="M21" i="7"/>
  <c r="L21" i="7"/>
  <c r="J21" i="7"/>
  <c r="I21" i="7"/>
  <c r="H21" i="7"/>
  <c r="G21" i="7"/>
  <c r="E21" i="7"/>
  <c r="P17" i="7"/>
  <c r="O17" i="7"/>
  <c r="N17" i="7"/>
  <c r="M17" i="7"/>
  <c r="L17" i="7"/>
  <c r="J17" i="7"/>
  <c r="I17" i="7"/>
  <c r="H17" i="7"/>
  <c r="G17" i="7"/>
  <c r="E17" i="7"/>
  <c r="P16" i="7"/>
  <c r="O16" i="7"/>
  <c r="N16" i="7"/>
  <c r="M16" i="7"/>
  <c r="L16" i="7"/>
  <c r="J16" i="7"/>
  <c r="I16" i="7"/>
  <c r="H16" i="7"/>
  <c r="G16" i="7"/>
  <c r="E16" i="7"/>
  <c r="P193" i="6"/>
  <c r="O193" i="6"/>
  <c r="N193" i="6"/>
  <c r="M193" i="6"/>
  <c r="L193" i="6"/>
  <c r="J193" i="6"/>
  <c r="I193" i="6"/>
  <c r="H193" i="6"/>
  <c r="G193" i="6"/>
  <c r="E193" i="6"/>
  <c r="P192" i="6"/>
  <c r="O192" i="6"/>
  <c r="N192" i="6"/>
  <c r="M192" i="6"/>
  <c r="L192" i="6"/>
  <c r="J192" i="6"/>
  <c r="I192" i="6"/>
  <c r="H192" i="6"/>
  <c r="G192" i="6"/>
  <c r="E192" i="6"/>
  <c r="P191" i="6"/>
  <c r="O191" i="6"/>
  <c r="N191" i="6"/>
  <c r="M191" i="6"/>
  <c r="L191" i="6"/>
  <c r="J191" i="6"/>
  <c r="I191" i="6"/>
  <c r="H191" i="6"/>
  <c r="G191" i="6"/>
  <c r="E191" i="6"/>
  <c r="P190" i="6"/>
  <c r="O190" i="6"/>
  <c r="N190" i="6"/>
  <c r="M190" i="6"/>
  <c r="L190" i="6"/>
  <c r="J190" i="6"/>
  <c r="I190" i="6"/>
  <c r="H190" i="6"/>
  <c r="G190" i="6"/>
  <c r="E190" i="6"/>
  <c r="P188" i="6"/>
  <c r="O188" i="6"/>
  <c r="N188" i="6"/>
  <c r="M188" i="6"/>
  <c r="L188" i="6"/>
  <c r="J188" i="6"/>
  <c r="I188" i="6"/>
  <c r="H188" i="6"/>
  <c r="G188" i="6"/>
  <c r="E188" i="6"/>
  <c r="P187" i="6"/>
  <c r="O187" i="6"/>
  <c r="N187" i="6"/>
  <c r="M187" i="6"/>
  <c r="L187" i="6"/>
  <c r="J187" i="6"/>
  <c r="I187" i="6"/>
  <c r="H187" i="6"/>
  <c r="G187" i="6"/>
  <c r="E187" i="6"/>
  <c r="P186" i="6"/>
  <c r="O186" i="6"/>
  <c r="N186" i="6"/>
  <c r="M186" i="6"/>
  <c r="L186" i="6"/>
  <c r="J186" i="6"/>
  <c r="I186" i="6"/>
  <c r="H186" i="6"/>
  <c r="G186" i="6"/>
  <c r="E186" i="6"/>
  <c r="P174" i="6"/>
  <c r="O174" i="6"/>
  <c r="N174" i="6"/>
  <c r="M174" i="6"/>
  <c r="L174" i="6"/>
  <c r="J174" i="6"/>
  <c r="I174" i="6"/>
  <c r="H174" i="6"/>
  <c r="G174" i="6"/>
  <c r="E174" i="6"/>
  <c r="P173" i="6"/>
  <c r="O173" i="6"/>
  <c r="N173" i="6"/>
  <c r="M173" i="6"/>
  <c r="L173" i="6"/>
  <c r="J173" i="6"/>
  <c r="I173" i="6"/>
  <c r="H173" i="6"/>
  <c r="G173" i="6"/>
  <c r="E173" i="6"/>
  <c r="P172" i="6"/>
  <c r="O172" i="6"/>
  <c r="N172" i="6"/>
  <c r="M172" i="6"/>
  <c r="L172" i="6"/>
  <c r="J172" i="6"/>
  <c r="I172" i="6"/>
  <c r="H172" i="6"/>
  <c r="G172" i="6"/>
  <c r="E172" i="6"/>
  <c r="P171" i="6"/>
  <c r="O171" i="6"/>
  <c r="N171" i="6"/>
  <c r="M171" i="6"/>
  <c r="L171" i="6"/>
  <c r="J171" i="6"/>
  <c r="I171" i="6"/>
  <c r="H171" i="6"/>
  <c r="G171" i="6"/>
  <c r="E171" i="6"/>
  <c r="P169" i="6"/>
  <c r="O169" i="6"/>
  <c r="N169" i="6"/>
  <c r="M169" i="6"/>
  <c r="L169" i="6"/>
  <c r="J169" i="6"/>
  <c r="I169" i="6"/>
  <c r="H169" i="6"/>
  <c r="G169" i="6"/>
  <c r="E169" i="6"/>
  <c r="P168" i="6"/>
  <c r="O168" i="6"/>
  <c r="N168" i="6"/>
  <c r="M168" i="6"/>
  <c r="L168" i="6"/>
  <c r="J168" i="6"/>
  <c r="I168" i="6"/>
  <c r="H168" i="6"/>
  <c r="G168" i="6"/>
  <c r="E168" i="6"/>
  <c r="P167" i="6"/>
  <c r="O167" i="6"/>
  <c r="N167" i="6"/>
  <c r="M167" i="6"/>
  <c r="L167" i="6"/>
  <c r="J167" i="6"/>
  <c r="I167" i="6"/>
  <c r="H167" i="6"/>
  <c r="G167" i="6"/>
  <c r="E167" i="6"/>
  <c r="P155" i="6"/>
  <c r="O155" i="6"/>
  <c r="N155" i="6"/>
  <c r="M155" i="6"/>
  <c r="L155" i="6"/>
  <c r="J155" i="6"/>
  <c r="I155" i="6"/>
  <c r="H155" i="6"/>
  <c r="G155" i="6"/>
  <c r="E155" i="6"/>
  <c r="P154" i="6"/>
  <c r="O154" i="6"/>
  <c r="N154" i="6"/>
  <c r="M154" i="6"/>
  <c r="L154" i="6"/>
  <c r="J154" i="6"/>
  <c r="I154" i="6"/>
  <c r="H154" i="6"/>
  <c r="G154" i="6"/>
  <c r="E154" i="6"/>
  <c r="P153" i="6"/>
  <c r="O153" i="6"/>
  <c r="N153" i="6"/>
  <c r="M153" i="6"/>
  <c r="L153" i="6"/>
  <c r="J153" i="6"/>
  <c r="I153" i="6"/>
  <c r="H153" i="6"/>
  <c r="G153" i="6"/>
  <c r="E153" i="6"/>
  <c r="P152" i="6"/>
  <c r="O152" i="6"/>
  <c r="N152" i="6"/>
  <c r="M152" i="6"/>
  <c r="L152" i="6"/>
  <c r="J152" i="6"/>
  <c r="I152" i="6"/>
  <c r="H152" i="6"/>
  <c r="G152" i="6"/>
  <c r="E152" i="6"/>
  <c r="P150" i="6"/>
  <c r="O150" i="6"/>
  <c r="N150" i="6"/>
  <c r="M150" i="6"/>
  <c r="L150" i="6"/>
  <c r="J150" i="6"/>
  <c r="I150" i="6"/>
  <c r="H150" i="6"/>
  <c r="G150" i="6"/>
  <c r="E150" i="6"/>
  <c r="P149" i="6"/>
  <c r="O149" i="6"/>
  <c r="N149" i="6"/>
  <c r="M149" i="6"/>
  <c r="L149" i="6"/>
  <c r="J149" i="6"/>
  <c r="I149" i="6"/>
  <c r="H149" i="6"/>
  <c r="G149" i="6"/>
  <c r="E149" i="6"/>
  <c r="P148" i="6"/>
  <c r="O148" i="6"/>
  <c r="N148" i="6"/>
  <c r="M148" i="6"/>
  <c r="L148" i="6"/>
  <c r="J148" i="6"/>
  <c r="I148" i="6"/>
  <c r="H148" i="6"/>
  <c r="G148" i="6"/>
  <c r="E148" i="6"/>
  <c r="P136" i="6"/>
  <c r="O136" i="6"/>
  <c r="N136" i="6"/>
  <c r="M136" i="6"/>
  <c r="L136" i="6"/>
  <c r="J136" i="6"/>
  <c r="I136" i="6"/>
  <c r="H136" i="6"/>
  <c r="G136" i="6"/>
  <c r="E136" i="6"/>
  <c r="P135" i="6"/>
  <c r="O135" i="6"/>
  <c r="N135" i="6"/>
  <c r="M135" i="6"/>
  <c r="L135" i="6"/>
  <c r="J135" i="6"/>
  <c r="I135" i="6"/>
  <c r="H135" i="6"/>
  <c r="G135" i="6"/>
  <c r="E135" i="6"/>
  <c r="P134" i="6"/>
  <c r="O134" i="6"/>
  <c r="N134" i="6"/>
  <c r="M134" i="6"/>
  <c r="L134" i="6"/>
  <c r="J134" i="6"/>
  <c r="I134" i="6"/>
  <c r="H134" i="6"/>
  <c r="G134" i="6"/>
  <c r="E134" i="6"/>
  <c r="P133" i="6"/>
  <c r="O133" i="6"/>
  <c r="N133" i="6"/>
  <c r="M133" i="6"/>
  <c r="L133" i="6"/>
  <c r="J133" i="6"/>
  <c r="I133" i="6"/>
  <c r="H133" i="6"/>
  <c r="G133" i="6"/>
  <c r="E133" i="6"/>
  <c r="P131" i="6"/>
  <c r="O131" i="6"/>
  <c r="N131" i="6"/>
  <c r="M131" i="6"/>
  <c r="L131" i="6"/>
  <c r="J131" i="6"/>
  <c r="I131" i="6"/>
  <c r="H131" i="6"/>
  <c r="G131" i="6"/>
  <c r="E131" i="6"/>
  <c r="P130" i="6"/>
  <c r="O130" i="6"/>
  <c r="N130" i="6"/>
  <c r="M130" i="6"/>
  <c r="L130" i="6"/>
  <c r="J130" i="6"/>
  <c r="I130" i="6"/>
  <c r="H130" i="6"/>
  <c r="G130" i="6"/>
  <c r="E130" i="6"/>
  <c r="P128" i="6"/>
  <c r="O128" i="6"/>
  <c r="N128" i="6"/>
  <c r="M128" i="6"/>
  <c r="L128" i="6"/>
  <c r="J128" i="6"/>
  <c r="I128" i="6"/>
  <c r="H128" i="6"/>
  <c r="G128" i="6"/>
  <c r="E128" i="6"/>
  <c r="P117" i="6"/>
  <c r="O117" i="6"/>
  <c r="N117" i="6"/>
  <c r="M117" i="6"/>
  <c r="L117" i="6"/>
  <c r="J117" i="6"/>
  <c r="I117" i="6"/>
  <c r="H117" i="6"/>
  <c r="G117" i="6"/>
  <c r="E117" i="6"/>
  <c r="P116" i="6"/>
  <c r="O116" i="6"/>
  <c r="N116" i="6"/>
  <c r="M116" i="6"/>
  <c r="L116" i="6"/>
  <c r="J116" i="6"/>
  <c r="I116" i="6"/>
  <c r="H116" i="6"/>
  <c r="G116" i="6"/>
  <c r="E116" i="6"/>
  <c r="P115" i="6"/>
  <c r="O115" i="6"/>
  <c r="N115" i="6"/>
  <c r="M115" i="6"/>
  <c r="L115" i="6"/>
  <c r="J115" i="6"/>
  <c r="I115" i="6"/>
  <c r="H115" i="6"/>
  <c r="G115" i="6"/>
  <c r="E115" i="6"/>
  <c r="P114" i="6"/>
  <c r="O114" i="6"/>
  <c r="N114" i="6"/>
  <c r="M114" i="6"/>
  <c r="L114" i="6"/>
  <c r="J114" i="6"/>
  <c r="I114" i="6"/>
  <c r="H114" i="6"/>
  <c r="G114" i="6"/>
  <c r="E114" i="6"/>
  <c r="P111" i="6"/>
  <c r="O111" i="6"/>
  <c r="N111" i="6"/>
  <c r="M111" i="6"/>
  <c r="L111" i="6"/>
  <c r="J111" i="6"/>
  <c r="I111" i="6"/>
  <c r="H111" i="6"/>
  <c r="G111" i="6"/>
  <c r="E111" i="6"/>
  <c r="P110" i="6"/>
  <c r="O110" i="6"/>
  <c r="N110" i="6"/>
  <c r="M110" i="6"/>
  <c r="L110" i="6"/>
  <c r="J110" i="6"/>
  <c r="I110" i="6"/>
  <c r="H110" i="6"/>
  <c r="G110" i="6"/>
  <c r="E110" i="6"/>
  <c r="P109" i="6"/>
  <c r="O109" i="6"/>
  <c r="N109" i="6"/>
  <c r="M109" i="6"/>
  <c r="L109" i="6"/>
  <c r="J109" i="6"/>
  <c r="I109" i="6"/>
  <c r="H109" i="6"/>
  <c r="G109" i="6"/>
  <c r="E109" i="6"/>
  <c r="P98" i="6"/>
  <c r="O98" i="6"/>
  <c r="N98" i="6"/>
  <c r="M98" i="6"/>
  <c r="L98" i="6"/>
  <c r="J98" i="6"/>
  <c r="I98" i="6"/>
  <c r="H98" i="6"/>
  <c r="G98" i="6"/>
  <c r="E98" i="6"/>
  <c r="P97" i="6"/>
  <c r="O97" i="6"/>
  <c r="N97" i="6"/>
  <c r="M97" i="6"/>
  <c r="L97" i="6"/>
  <c r="J97" i="6"/>
  <c r="I97" i="6"/>
  <c r="H97" i="6"/>
  <c r="G97" i="6"/>
  <c r="E97" i="6"/>
  <c r="P96" i="6"/>
  <c r="O96" i="6"/>
  <c r="N96" i="6"/>
  <c r="M96" i="6"/>
  <c r="L96" i="6"/>
  <c r="J96" i="6"/>
  <c r="I96" i="6"/>
  <c r="H96" i="6"/>
  <c r="G96" i="6"/>
  <c r="E96" i="6"/>
  <c r="P95" i="6"/>
  <c r="O95" i="6"/>
  <c r="N95" i="6"/>
  <c r="M95" i="6"/>
  <c r="L95" i="6"/>
  <c r="J95" i="6"/>
  <c r="I95" i="6"/>
  <c r="H95" i="6"/>
  <c r="G95" i="6"/>
  <c r="E95" i="6"/>
  <c r="P92" i="6"/>
  <c r="O92" i="6"/>
  <c r="N92" i="6"/>
  <c r="M92" i="6"/>
  <c r="L92" i="6"/>
  <c r="J92" i="6"/>
  <c r="I92" i="6"/>
  <c r="H92" i="6"/>
  <c r="G92" i="6"/>
  <c r="E92" i="6"/>
  <c r="P79" i="6"/>
  <c r="O79" i="6"/>
  <c r="N79" i="6"/>
  <c r="M79" i="6"/>
  <c r="L79" i="6"/>
  <c r="J79" i="6"/>
  <c r="I79" i="6"/>
  <c r="H79" i="6"/>
  <c r="G79" i="6"/>
  <c r="E79" i="6"/>
  <c r="P78" i="6"/>
  <c r="O78" i="6"/>
  <c r="N78" i="6"/>
  <c r="M78" i="6"/>
  <c r="L78" i="6"/>
  <c r="J78" i="6"/>
  <c r="I78" i="6"/>
  <c r="H78" i="6"/>
  <c r="G78" i="6"/>
  <c r="E78" i="6"/>
  <c r="P77" i="6"/>
  <c r="O77" i="6"/>
  <c r="N77" i="6"/>
  <c r="M77" i="6"/>
  <c r="L77" i="6"/>
  <c r="J77" i="6"/>
  <c r="I77" i="6"/>
  <c r="H77" i="6"/>
  <c r="G77" i="6"/>
  <c r="E77" i="6"/>
  <c r="P76" i="6"/>
  <c r="O76" i="6"/>
  <c r="N76" i="6"/>
  <c r="M76" i="6"/>
  <c r="L76" i="6"/>
  <c r="J76" i="6"/>
  <c r="I76" i="6"/>
  <c r="H76" i="6"/>
  <c r="G76" i="6"/>
  <c r="E76" i="6"/>
  <c r="P74" i="6"/>
  <c r="O74" i="6"/>
  <c r="N74" i="6"/>
  <c r="M74" i="6"/>
  <c r="L74" i="6"/>
  <c r="J74" i="6"/>
  <c r="I74" i="6"/>
  <c r="H74" i="6"/>
  <c r="G74" i="6"/>
  <c r="E74" i="6"/>
  <c r="P73" i="6"/>
  <c r="O73" i="6"/>
  <c r="N73" i="6"/>
  <c r="M73" i="6"/>
  <c r="L73" i="6"/>
  <c r="J73" i="6"/>
  <c r="I73" i="6"/>
  <c r="H73" i="6"/>
  <c r="G73" i="6"/>
  <c r="E73" i="6"/>
  <c r="P60" i="6"/>
  <c r="O60" i="6"/>
  <c r="N60" i="6"/>
  <c r="M60" i="6"/>
  <c r="L60" i="6"/>
  <c r="J60" i="6"/>
  <c r="I60" i="6"/>
  <c r="H60" i="6"/>
  <c r="G60" i="6"/>
  <c r="E60" i="6"/>
  <c r="P59" i="6"/>
  <c r="O59" i="6"/>
  <c r="N59" i="6"/>
  <c r="M59" i="6"/>
  <c r="L59" i="6"/>
  <c r="J59" i="6"/>
  <c r="I59" i="6"/>
  <c r="H59" i="6"/>
  <c r="G59" i="6"/>
  <c r="E59" i="6"/>
  <c r="P58" i="6"/>
  <c r="O58" i="6"/>
  <c r="N58" i="6"/>
  <c r="M58" i="6"/>
  <c r="L58" i="6"/>
  <c r="J58" i="6"/>
  <c r="I58" i="6"/>
  <c r="H58" i="6"/>
  <c r="G58" i="6"/>
  <c r="E58" i="6"/>
  <c r="P57" i="6"/>
  <c r="O57" i="6"/>
  <c r="N57" i="6"/>
  <c r="M57" i="6"/>
  <c r="L57" i="6"/>
  <c r="J57" i="6"/>
  <c r="I57" i="6"/>
  <c r="H57" i="6"/>
  <c r="G57" i="6"/>
  <c r="E57" i="6"/>
  <c r="P54" i="6"/>
  <c r="O54" i="6"/>
  <c r="N54" i="6"/>
  <c r="M54" i="6"/>
  <c r="L54" i="6"/>
  <c r="J54" i="6"/>
  <c r="I54" i="6"/>
  <c r="H54" i="6"/>
  <c r="G54" i="6"/>
  <c r="E54" i="6"/>
  <c r="P53" i="6"/>
  <c r="O53" i="6"/>
  <c r="N53" i="6"/>
  <c r="M53" i="6"/>
  <c r="L53" i="6"/>
  <c r="J53" i="6"/>
  <c r="I53" i="6"/>
  <c r="H53" i="6"/>
  <c r="G53" i="6"/>
  <c r="E53" i="6"/>
  <c r="P41" i="6"/>
  <c r="O41" i="6"/>
  <c r="N41" i="6"/>
  <c r="M41" i="6"/>
  <c r="L41" i="6"/>
  <c r="J41" i="6"/>
  <c r="I41" i="6"/>
  <c r="H41" i="6"/>
  <c r="G41" i="6"/>
  <c r="E41" i="6"/>
  <c r="P40" i="6"/>
  <c r="O40" i="6"/>
  <c r="N40" i="6"/>
  <c r="M40" i="6"/>
  <c r="L40" i="6"/>
  <c r="J40" i="6"/>
  <c r="I40" i="6"/>
  <c r="H40" i="6"/>
  <c r="G40" i="6"/>
  <c r="E40" i="6"/>
  <c r="P39" i="6"/>
  <c r="O39" i="6"/>
  <c r="N39" i="6"/>
  <c r="M39" i="6"/>
  <c r="L39" i="6"/>
  <c r="J39" i="6"/>
  <c r="I39" i="6"/>
  <c r="H39" i="6"/>
  <c r="G39" i="6"/>
  <c r="E39" i="6"/>
  <c r="P38" i="6"/>
  <c r="O38" i="6"/>
  <c r="N38" i="6"/>
  <c r="M38" i="6"/>
  <c r="L38" i="6"/>
  <c r="J38" i="6"/>
  <c r="I38" i="6"/>
  <c r="H38" i="6"/>
  <c r="G38" i="6"/>
  <c r="E38" i="6"/>
  <c r="P36" i="6"/>
  <c r="O36" i="6"/>
  <c r="N36" i="6"/>
  <c r="M36" i="6"/>
  <c r="L36" i="6"/>
  <c r="J36" i="6"/>
  <c r="I36" i="6"/>
  <c r="H36" i="6"/>
  <c r="G36" i="6"/>
  <c r="E36" i="6"/>
  <c r="P35" i="6"/>
  <c r="O35" i="6"/>
  <c r="N35" i="6"/>
  <c r="M35" i="6"/>
  <c r="L35" i="6"/>
  <c r="J35" i="6"/>
  <c r="I35" i="6"/>
  <c r="H35" i="6"/>
  <c r="G35" i="6"/>
  <c r="E35" i="6"/>
  <c r="P34" i="6"/>
  <c r="O34" i="6"/>
  <c r="N34" i="6"/>
  <c r="M34" i="6"/>
  <c r="L34" i="6"/>
  <c r="J34" i="6"/>
  <c r="I34" i="6"/>
  <c r="H34" i="6"/>
  <c r="G34" i="6"/>
  <c r="E34" i="6"/>
  <c r="P22" i="6"/>
  <c r="O22" i="6"/>
  <c r="N22" i="6"/>
  <c r="M22" i="6"/>
  <c r="L22" i="6"/>
  <c r="J22" i="6"/>
  <c r="I22" i="6"/>
  <c r="H22" i="6"/>
  <c r="G22" i="6"/>
  <c r="E22" i="6"/>
  <c r="P21" i="6"/>
  <c r="O21" i="6"/>
  <c r="N21" i="6"/>
  <c r="M21" i="6"/>
  <c r="L21" i="6"/>
  <c r="J21" i="6"/>
  <c r="I21" i="6"/>
  <c r="H21" i="6"/>
  <c r="G21" i="6"/>
  <c r="E21" i="6"/>
  <c r="P20" i="6"/>
  <c r="O20" i="6"/>
  <c r="N20" i="6"/>
  <c r="M20" i="6"/>
  <c r="L20" i="6"/>
  <c r="J20" i="6"/>
  <c r="I20" i="6"/>
  <c r="H20" i="6"/>
  <c r="G20" i="6"/>
  <c r="E20" i="6"/>
  <c r="P19" i="6"/>
  <c r="O19" i="6"/>
  <c r="N19" i="6"/>
  <c r="M19" i="6"/>
  <c r="L19" i="6"/>
  <c r="J19" i="6"/>
  <c r="I19" i="6"/>
  <c r="H19" i="6"/>
  <c r="G19" i="6"/>
  <c r="E19" i="6"/>
  <c r="P17" i="6"/>
  <c r="O17" i="6"/>
  <c r="N17" i="6"/>
  <c r="M17" i="6"/>
  <c r="L17" i="6"/>
  <c r="J17" i="6"/>
  <c r="I17" i="6"/>
  <c r="H17" i="6"/>
  <c r="G17" i="6"/>
  <c r="E17" i="6"/>
  <c r="P155" i="5"/>
  <c r="O155" i="5"/>
  <c r="N155" i="5"/>
  <c r="M155" i="5"/>
  <c r="L155" i="5"/>
  <c r="J155" i="5"/>
  <c r="I155" i="5"/>
  <c r="H155" i="5"/>
  <c r="G155" i="5"/>
  <c r="E155" i="5"/>
  <c r="P154" i="5"/>
  <c r="O154" i="5"/>
  <c r="N154" i="5"/>
  <c r="M154" i="5"/>
  <c r="L154" i="5"/>
  <c r="J154" i="5"/>
  <c r="I154" i="5"/>
  <c r="H154" i="5"/>
  <c r="G154" i="5"/>
  <c r="E154" i="5"/>
  <c r="P150" i="5"/>
  <c r="O150" i="5"/>
  <c r="N150" i="5"/>
  <c r="M150" i="5"/>
  <c r="L150" i="5"/>
  <c r="J150" i="5"/>
  <c r="I150" i="5"/>
  <c r="H150" i="5"/>
  <c r="G150" i="5"/>
  <c r="E150" i="5"/>
  <c r="P149" i="5"/>
  <c r="O149" i="5"/>
  <c r="N149" i="5"/>
  <c r="M149" i="5"/>
  <c r="L149" i="5"/>
  <c r="J149" i="5"/>
  <c r="I149" i="5"/>
  <c r="H149" i="5"/>
  <c r="G149" i="5"/>
  <c r="E149" i="5"/>
  <c r="P136" i="5"/>
  <c r="O136" i="5"/>
  <c r="N136" i="5"/>
  <c r="M136" i="5"/>
  <c r="L136" i="5"/>
  <c r="J136" i="5"/>
  <c r="I136" i="5"/>
  <c r="H136" i="5"/>
  <c r="G136" i="5"/>
  <c r="E136" i="5"/>
  <c r="P135" i="5"/>
  <c r="O135" i="5"/>
  <c r="N135" i="5"/>
  <c r="M135" i="5"/>
  <c r="L135" i="5"/>
  <c r="J135" i="5"/>
  <c r="I135" i="5"/>
  <c r="H135" i="5"/>
  <c r="G135" i="5"/>
  <c r="E135" i="5"/>
  <c r="P134" i="5"/>
  <c r="O134" i="5"/>
  <c r="N134" i="5"/>
  <c r="M134" i="5"/>
  <c r="L134" i="5"/>
  <c r="J134" i="5"/>
  <c r="I134" i="5"/>
  <c r="H134" i="5"/>
  <c r="G134" i="5"/>
  <c r="E134" i="5"/>
  <c r="P133" i="5"/>
  <c r="O133" i="5"/>
  <c r="N133" i="5"/>
  <c r="M133" i="5"/>
  <c r="L133" i="5"/>
  <c r="J133" i="5"/>
  <c r="I133" i="5"/>
  <c r="H133" i="5"/>
  <c r="G133" i="5"/>
  <c r="E133" i="5"/>
  <c r="P131" i="5"/>
  <c r="O131" i="5"/>
  <c r="N131" i="5"/>
  <c r="M131" i="5"/>
  <c r="L131" i="5"/>
  <c r="J131" i="5"/>
  <c r="I131" i="5"/>
  <c r="H131" i="5"/>
  <c r="G131" i="5"/>
  <c r="E131" i="5"/>
  <c r="P129" i="5"/>
  <c r="O129" i="5"/>
  <c r="N129" i="5"/>
  <c r="M129" i="5"/>
  <c r="L129" i="5"/>
  <c r="J129" i="5"/>
  <c r="I129" i="5"/>
  <c r="H129" i="5"/>
  <c r="G129" i="5"/>
  <c r="E129" i="5"/>
  <c r="P117" i="5"/>
  <c r="O117" i="5"/>
  <c r="N117" i="5"/>
  <c r="M117" i="5"/>
  <c r="L117" i="5"/>
  <c r="J117" i="5"/>
  <c r="I117" i="5"/>
  <c r="H117" i="5"/>
  <c r="G117" i="5"/>
  <c r="E117" i="5"/>
  <c r="P116" i="5"/>
  <c r="O116" i="5"/>
  <c r="N116" i="5"/>
  <c r="M116" i="5"/>
  <c r="L116" i="5"/>
  <c r="J116" i="5"/>
  <c r="I116" i="5"/>
  <c r="H116" i="5"/>
  <c r="G116" i="5"/>
  <c r="E116" i="5"/>
  <c r="P115" i="5"/>
  <c r="O115" i="5"/>
  <c r="N115" i="5"/>
  <c r="M115" i="5"/>
  <c r="L115" i="5"/>
  <c r="J115" i="5"/>
  <c r="I115" i="5"/>
  <c r="H115" i="5"/>
  <c r="G115" i="5"/>
  <c r="E115" i="5"/>
  <c r="P114" i="5"/>
  <c r="O114" i="5"/>
  <c r="N114" i="5"/>
  <c r="M114" i="5"/>
  <c r="L114" i="5"/>
  <c r="J114" i="5"/>
  <c r="I114" i="5"/>
  <c r="H114" i="5"/>
  <c r="G114" i="5"/>
  <c r="E114" i="5"/>
  <c r="P112" i="5"/>
  <c r="O112" i="5"/>
  <c r="N112" i="5"/>
  <c r="M112" i="5"/>
  <c r="L112" i="5"/>
  <c r="J112" i="5"/>
  <c r="I112" i="5"/>
  <c r="H112" i="5"/>
  <c r="G112" i="5"/>
  <c r="E112" i="5"/>
  <c r="P110" i="5"/>
  <c r="O110" i="5"/>
  <c r="N110" i="5"/>
  <c r="M110" i="5"/>
  <c r="L110" i="5"/>
  <c r="J110" i="5"/>
  <c r="I110" i="5"/>
  <c r="H110" i="5"/>
  <c r="G110" i="5"/>
  <c r="E110" i="5"/>
  <c r="P98" i="5"/>
  <c r="O98" i="5"/>
  <c r="N98" i="5"/>
  <c r="M98" i="5"/>
  <c r="L98" i="5"/>
  <c r="J98" i="5"/>
  <c r="I98" i="5"/>
  <c r="H98" i="5"/>
  <c r="G98" i="5"/>
  <c r="E98" i="5"/>
  <c r="P97" i="5"/>
  <c r="O97" i="5"/>
  <c r="N97" i="5"/>
  <c r="M97" i="5"/>
  <c r="L97" i="5"/>
  <c r="J97" i="5"/>
  <c r="I97" i="5"/>
  <c r="H97" i="5"/>
  <c r="G97" i="5"/>
  <c r="E97" i="5"/>
  <c r="P96" i="5"/>
  <c r="O96" i="5"/>
  <c r="N96" i="5"/>
  <c r="M96" i="5"/>
  <c r="L96" i="5"/>
  <c r="J96" i="5"/>
  <c r="I96" i="5"/>
  <c r="H96" i="5"/>
  <c r="G96" i="5"/>
  <c r="E96" i="5"/>
  <c r="P93" i="5"/>
  <c r="O93" i="5"/>
  <c r="N93" i="5"/>
  <c r="M93" i="5"/>
  <c r="L93" i="5"/>
  <c r="J93" i="5"/>
  <c r="I93" i="5"/>
  <c r="H93" i="5"/>
  <c r="G93" i="5"/>
  <c r="E93" i="5"/>
  <c r="P92" i="5"/>
  <c r="O92" i="5"/>
  <c r="N92" i="5"/>
  <c r="M92" i="5"/>
  <c r="L92" i="5"/>
  <c r="J92" i="5"/>
  <c r="I92" i="5"/>
  <c r="H92" i="5"/>
  <c r="G92" i="5"/>
  <c r="E92" i="5"/>
  <c r="P91" i="5"/>
  <c r="O91" i="5"/>
  <c r="N91" i="5"/>
  <c r="M91" i="5"/>
  <c r="L91" i="5"/>
  <c r="J91" i="5"/>
  <c r="I91" i="5"/>
  <c r="H91" i="5"/>
  <c r="G91" i="5"/>
  <c r="E91" i="5"/>
  <c r="P79" i="5"/>
  <c r="O79" i="5"/>
  <c r="N79" i="5"/>
  <c r="M79" i="5"/>
  <c r="L79" i="5"/>
  <c r="J79" i="5"/>
  <c r="I79" i="5"/>
  <c r="H79" i="5"/>
  <c r="G79" i="5"/>
  <c r="E79" i="5"/>
  <c r="P78" i="5"/>
  <c r="O78" i="5"/>
  <c r="N78" i="5"/>
  <c r="M78" i="5"/>
  <c r="L78" i="5"/>
  <c r="J78" i="5"/>
  <c r="I78" i="5"/>
  <c r="H78" i="5"/>
  <c r="G78" i="5"/>
  <c r="E78" i="5"/>
  <c r="P77" i="5"/>
  <c r="O77" i="5"/>
  <c r="N77" i="5"/>
  <c r="M77" i="5"/>
  <c r="L77" i="5"/>
  <c r="J77" i="5"/>
  <c r="I77" i="5"/>
  <c r="H77" i="5"/>
  <c r="G77" i="5"/>
  <c r="E77" i="5"/>
  <c r="P76" i="5"/>
  <c r="O76" i="5"/>
  <c r="N76" i="5"/>
  <c r="M76" i="5"/>
  <c r="L76" i="5"/>
  <c r="J76" i="5"/>
  <c r="I76" i="5"/>
  <c r="H76" i="5"/>
  <c r="G76" i="5"/>
  <c r="E76" i="5"/>
  <c r="P74" i="5"/>
  <c r="O74" i="5"/>
  <c r="N74" i="5"/>
  <c r="M74" i="5"/>
  <c r="L74" i="5"/>
  <c r="J74" i="5"/>
  <c r="I74" i="5"/>
  <c r="H74" i="5"/>
  <c r="G74" i="5"/>
  <c r="E74" i="5"/>
  <c r="P72" i="5"/>
  <c r="O72" i="5"/>
  <c r="N72" i="5"/>
  <c r="M72" i="5"/>
  <c r="L72" i="5"/>
  <c r="J72" i="5"/>
  <c r="I72" i="5"/>
  <c r="H72" i="5"/>
  <c r="G72" i="5"/>
  <c r="E72" i="5"/>
  <c r="P60" i="5"/>
  <c r="O60" i="5"/>
  <c r="N60" i="5"/>
  <c r="M60" i="5"/>
  <c r="L60" i="5"/>
  <c r="J60" i="5"/>
  <c r="I60" i="5"/>
  <c r="H60" i="5"/>
  <c r="G60" i="5"/>
  <c r="E60" i="5"/>
  <c r="P59" i="5"/>
  <c r="O59" i="5"/>
  <c r="N59" i="5"/>
  <c r="M59" i="5"/>
  <c r="L59" i="5"/>
  <c r="J59" i="5"/>
  <c r="I59" i="5"/>
  <c r="H59" i="5"/>
  <c r="G59" i="5"/>
  <c r="E59" i="5"/>
  <c r="P58" i="5"/>
  <c r="O58" i="5"/>
  <c r="N58" i="5"/>
  <c r="M58" i="5"/>
  <c r="L58" i="5"/>
  <c r="J58" i="5"/>
  <c r="I58" i="5"/>
  <c r="H58" i="5"/>
  <c r="G58" i="5"/>
  <c r="E58" i="5"/>
  <c r="P57" i="5"/>
  <c r="O57" i="5"/>
  <c r="N57" i="5"/>
  <c r="M57" i="5"/>
  <c r="L57" i="5"/>
  <c r="J57" i="5"/>
  <c r="I57" i="5"/>
  <c r="H57" i="5"/>
  <c r="G57" i="5"/>
  <c r="E57" i="5"/>
  <c r="P55" i="5"/>
  <c r="O55" i="5"/>
  <c r="N55" i="5"/>
  <c r="M55" i="5"/>
  <c r="L55" i="5"/>
  <c r="J55" i="5"/>
  <c r="I55" i="5"/>
  <c r="H55" i="5"/>
  <c r="G55" i="5"/>
  <c r="E55" i="5"/>
  <c r="P53" i="5"/>
  <c r="O53" i="5"/>
  <c r="N53" i="5"/>
  <c r="M53" i="5"/>
  <c r="L53" i="5"/>
  <c r="J53" i="5"/>
  <c r="I53" i="5"/>
  <c r="H53" i="5"/>
  <c r="G53" i="5"/>
  <c r="E53" i="5"/>
  <c r="P41" i="5"/>
  <c r="O41" i="5"/>
  <c r="N41" i="5"/>
  <c r="M41" i="5"/>
  <c r="L41" i="5"/>
  <c r="J41" i="5"/>
  <c r="I41" i="5"/>
  <c r="H41" i="5"/>
  <c r="G41" i="5"/>
  <c r="E41" i="5"/>
  <c r="P40" i="5"/>
  <c r="O40" i="5"/>
  <c r="N40" i="5"/>
  <c r="M40" i="5"/>
  <c r="L40" i="5"/>
  <c r="J40" i="5"/>
  <c r="I40" i="5"/>
  <c r="H40" i="5"/>
  <c r="G40" i="5"/>
  <c r="E40" i="5"/>
  <c r="P39" i="5"/>
  <c r="O39" i="5"/>
  <c r="N39" i="5"/>
  <c r="M39" i="5"/>
  <c r="L39" i="5"/>
  <c r="J39" i="5"/>
  <c r="I39" i="5"/>
  <c r="H39" i="5"/>
  <c r="G39" i="5"/>
  <c r="E39" i="5"/>
  <c r="P36" i="5"/>
  <c r="O36" i="5"/>
  <c r="N36" i="5"/>
  <c r="M36" i="5"/>
  <c r="L36" i="5"/>
  <c r="J36" i="5"/>
  <c r="I36" i="5"/>
  <c r="H36" i="5"/>
  <c r="G36" i="5"/>
  <c r="E36" i="5"/>
  <c r="P35" i="5"/>
  <c r="O35" i="5"/>
  <c r="N35" i="5"/>
  <c r="M35" i="5"/>
  <c r="L35" i="5"/>
  <c r="J35" i="5"/>
  <c r="I35" i="5"/>
  <c r="H35" i="5"/>
  <c r="G35" i="5"/>
  <c r="E35" i="5"/>
  <c r="P34" i="5"/>
  <c r="O34" i="5"/>
  <c r="N34" i="5"/>
  <c r="M34" i="5"/>
  <c r="L34" i="5"/>
  <c r="J34" i="5"/>
  <c r="I34" i="5"/>
  <c r="H34" i="5"/>
  <c r="G34" i="5"/>
  <c r="E34" i="5"/>
  <c r="P22" i="5"/>
  <c r="O22" i="5"/>
  <c r="N22" i="5"/>
  <c r="M22" i="5"/>
  <c r="L22" i="5"/>
  <c r="J22" i="5"/>
  <c r="I22" i="5"/>
  <c r="H22" i="5"/>
  <c r="G22" i="5"/>
  <c r="E22" i="5"/>
  <c r="P21" i="5"/>
  <c r="O21" i="5"/>
  <c r="N21" i="5"/>
  <c r="M21" i="5"/>
  <c r="L21" i="5"/>
  <c r="J21" i="5"/>
  <c r="I21" i="5"/>
  <c r="H21" i="5"/>
  <c r="G21" i="5"/>
  <c r="E21" i="5"/>
  <c r="P20" i="5"/>
  <c r="O20" i="5"/>
  <c r="N20" i="5"/>
  <c r="M20" i="5"/>
  <c r="L20" i="5"/>
  <c r="J20" i="5"/>
  <c r="I20" i="5"/>
  <c r="H20" i="5"/>
  <c r="G20" i="5"/>
  <c r="E20" i="5"/>
  <c r="P19" i="5"/>
  <c r="O19" i="5"/>
  <c r="N19" i="5"/>
  <c r="M19" i="5"/>
  <c r="L19" i="5"/>
  <c r="J19" i="5"/>
  <c r="I19" i="5"/>
  <c r="H19" i="5"/>
  <c r="G19" i="5"/>
  <c r="E19" i="5"/>
  <c r="P17" i="5"/>
  <c r="O17" i="5"/>
  <c r="N17" i="5"/>
  <c r="M17" i="5"/>
  <c r="L17" i="5"/>
  <c r="J17" i="5"/>
  <c r="I17" i="5"/>
  <c r="H17" i="5"/>
  <c r="G17" i="5"/>
  <c r="E17" i="5"/>
  <c r="P155" i="4"/>
  <c r="O155" i="4"/>
  <c r="N155" i="4"/>
  <c r="M155" i="4"/>
  <c r="L155" i="4"/>
  <c r="J155" i="4"/>
  <c r="I155" i="4"/>
  <c r="H155" i="4"/>
  <c r="G155" i="4"/>
  <c r="E155" i="4"/>
  <c r="P154" i="4"/>
  <c r="O154" i="4"/>
  <c r="N154" i="4"/>
  <c r="M154" i="4"/>
  <c r="L154" i="4"/>
  <c r="J154" i="4"/>
  <c r="I154" i="4"/>
  <c r="H154" i="4"/>
  <c r="G154" i="4"/>
  <c r="E154" i="4"/>
  <c r="P150" i="4"/>
  <c r="O150" i="4"/>
  <c r="N150" i="4"/>
  <c r="M150" i="4"/>
  <c r="L150" i="4"/>
  <c r="J150" i="4"/>
  <c r="I150" i="4"/>
  <c r="H150" i="4"/>
  <c r="G150" i="4"/>
  <c r="E150" i="4"/>
  <c r="P149" i="4"/>
  <c r="O149" i="4"/>
  <c r="N149" i="4"/>
  <c r="M149" i="4"/>
  <c r="L149" i="4"/>
  <c r="J149" i="4"/>
  <c r="I149" i="4"/>
  <c r="H149" i="4"/>
  <c r="G149" i="4"/>
  <c r="E149" i="4"/>
  <c r="P136" i="4"/>
  <c r="O136" i="4"/>
  <c r="N136" i="4"/>
  <c r="M136" i="4"/>
  <c r="L136" i="4"/>
  <c r="J136" i="4"/>
  <c r="I136" i="4"/>
  <c r="H136" i="4"/>
  <c r="G136" i="4"/>
  <c r="E136" i="4"/>
  <c r="P135" i="4"/>
  <c r="O135" i="4"/>
  <c r="N135" i="4"/>
  <c r="M135" i="4"/>
  <c r="L135" i="4"/>
  <c r="J135" i="4"/>
  <c r="I135" i="4"/>
  <c r="H135" i="4"/>
  <c r="G135" i="4"/>
  <c r="E135" i="4"/>
  <c r="P134" i="4"/>
  <c r="O134" i="4"/>
  <c r="N134" i="4"/>
  <c r="M134" i="4"/>
  <c r="L134" i="4"/>
  <c r="J134" i="4"/>
  <c r="I134" i="4"/>
  <c r="H134" i="4"/>
  <c r="G134" i="4"/>
  <c r="E134" i="4"/>
  <c r="P131" i="4"/>
  <c r="O131" i="4"/>
  <c r="N131" i="4"/>
  <c r="M131" i="4"/>
  <c r="L131" i="4"/>
  <c r="J131" i="4"/>
  <c r="I131" i="4"/>
  <c r="H131" i="4"/>
  <c r="G131" i="4"/>
  <c r="E131" i="4"/>
  <c r="P130" i="4"/>
  <c r="O130" i="4"/>
  <c r="N130" i="4"/>
  <c r="M130" i="4"/>
  <c r="L130" i="4"/>
  <c r="J130" i="4"/>
  <c r="I130" i="4"/>
  <c r="H130" i="4"/>
  <c r="G130" i="4"/>
  <c r="E130" i="4"/>
  <c r="P129" i="4"/>
  <c r="O129" i="4"/>
  <c r="N129" i="4"/>
  <c r="M129" i="4"/>
  <c r="L129" i="4"/>
  <c r="J129" i="4"/>
  <c r="I129" i="4"/>
  <c r="H129" i="4"/>
  <c r="G129" i="4"/>
  <c r="E129" i="4"/>
  <c r="P117" i="4"/>
  <c r="O117" i="4"/>
  <c r="N117" i="4"/>
  <c r="M117" i="4"/>
  <c r="L117" i="4"/>
  <c r="J117" i="4"/>
  <c r="I117" i="4"/>
  <c r="H117" i="4"/>
  <c r="G117" i="4"/>
  <c r="E117" i="4"/>
  <c r="P112" i="4"/>
  <c r="O112" i="4"/>
  <c r="N112" i="4"/>
  <c r="M112" i="4"/>
  <c r="L112" i="4"/>
  <c r="J112" i="4"/>
  <c r="I112" i="4"/>
  <c r="H112" i="4"/>
  <c r="G112" i="4"/>
  <c r="E112" i="4"/>
  <c r="P98" i="4"/>
  <c r="O98" i="4"/>
  <c r="N98" i="4"/>
  <c r="M98" i="4"/>
  <c r="L98" i="4"/>
  <c r="J98" i="4"/>
  <c r="I98" i="4"/>
  <c r="H98" i="4"/>
  <c r="G98" i="4"/>
  <c r="E98" i="4"/>
  <c r="P97" i="4"/>
  <c r="O97" i="4"/>
  <c r="N97" i="4"/>
  <c r="M97" i="4"/>
  <c r="L97" i="4"/>
  <c r="J97" i="4"/>
  <c r="I97" i="4"/>
  <c r="H97" i="4"/>
  <c r="G97" i="4"/>
  <c r="E97" i="4"/>
  <c r="P96" i="4"/>
  <c r="O96" i="4"/>
  <c r="N96" i="4"/>
  <c r="M96" i="4"/>
  <c r="L96" i="4"/>
  <c r="J96" i="4"/>
  <c r="I96" i="4"/>
  <c r="H96" i="4"/>
  <c r="G96" i="4"/>
  <c r="E96" i="4"/>
  <c r="P95" i="4"/>
  <c r="O95" i="4"/>
  <c r="N95" i="4"/>
  <c r="M95" i="4"/>
  <c r="L95" i="4"/>
  <c r="J95" i="4"/>
  <c r="I95" i="4"/>
  <c r="H95" i="4"/>
  <c r="G95" i="4"/>
  <c r="E95" i="4"/>
  <c r="P93" i="4"/>
  <c r="O93" i="4"/>
  <c r="N93" i="4"/>
  <c r="M93" i="4"/>
  <c r="L93" i="4"/>
  <c r="J93" i="4"/>
  <c r="I93" i="4"/>
  <c r="H93" i="4"/>
  <c r="G93" i="4"/>
  <c r="E93" i="4"/>
  <c r="P79" i="4"/>
  <c r="O79" i="4"/>
  <c r="N79" i="4"/>
  <c r="M79" i="4"/>
  <c r="L79" i="4"/>
  <c r="J79" i="4"/>
  <c r="I79" i="4"/>
  <c r="H79" i="4"/>
  <c r="G79" i="4"/>
  <c r="E79" i="4"/>
  <c r="P78" i="4"/>
  <c r="O78" i="4"/>
  <c r="N78" i="4"/>
  <c r="M78" i="4"/>
  <c r="L78" i="4"/>
  <c r="J78" i="4"/>
  <c r="I78" i="4"/>
  <c r="H78" i="4"/>
  <c r="G78" i="4"/>
  <c r="E78" i="4"/>
  <c r="P77" i="4"/>
  <c r="O77" i="4"/>
  <c r="N77" i="4"/>
  <c r="M77" i="4"/>
  <c r="L77" i="4"/>
  <c r="J77" i="4"/>
  <c r="I77" i="4"/>
  <c r="H77" i="4"/>
  <c r="G77" i="4"/>
  <c r="E77" i="4"/>
  <c r="P74" i="4"/>
  <c r="O74" i="4"/>
  <c r="N74" i="4"/>
  <c r="M74" i="4"/>
  <c r="L74" i="4"/>
  <c r="J74" i="4"/>
  <c r="I74" i="4"/>
  <c r="H74" i="4"/>
  <c r="G74" i="4"/>
  <c r="E74" i="4"/>
  <c r="P73" i="4"/>
  <c r="O73" i="4"/>
  <c r="N73" i="4"/>
  <c r="M73" i="4"/>
  <c r="L73" i="4"/>
  <c r="J73" i="4"/>
  <c r="I73" i="4"/>
  <c r="H73" i="4"/>
  <c r="G73" i="4"/>
  <c r="E73" i="4"/>
  <c r="P72" i="4"/>
  <c r="O72" i="4"/>
  <c r="N72" i="4"/>
  <c r="M72" i="4"/>
  <c r="L72" i="4"/>
  <c r="J72" i="4"/>
  <c r="I72" i="4"/>
  <c r="H72" i="4"/>
  <c r="G72" i="4"/>
  <c r="E72" i="4"/>
  <c r="P60" i="4"/>
  <c r="O60" i="4"/>
  <c r="N60" i="4"/>
  <c r="M60" i="4"/>
  <c r="L60" i="4"/>
  <c r="J60" i="4"/>
  <c r="I60" i="4"/>
  <c r="H60" i="4"/>
  <c r="G60" i="4"/>
  <c r="E60" i="4"/>
  <c r="P55" i="4"/>
  <c r="O55" i="4"/>
  <c r="N55" i="4"/>
  <c r="M55" i="4"/>
  <c r="L55" i="4"/>
  <c r="J55" i="4"/>
  <c r="I55" i="4"/>
  <c r="H55" i="4"/>
  <c r="G55" i="4"/>
  <c r="E55" i="4"/>
  <c r="P41" i="4"/>
  <c r="O41" i="4"/>
  <c r="N41" i="4"/>
  <c r="M41" i="4"/>
  <c r="L41" i="4"/>
  <c r="J41" i="4"/>
  <c r="I41" i="4"/>
  <c r="H41" i="4"/>
  <c r="G41" i="4"/>
  <c r="E41" i="4"/>
  <c r="P40" i="4"/>
  <c r="O40" i="4"/>
  <c r="N40" i="4"/>
  <c r="M40" i="4"/>
  <c r="L40" i="4"/>
  <c r="J40" i="4"/>
  <c r="I40" i="4"/>
  <c r="H40" i="4"/>
  <c r="G40" i="4"/>
  <c r="E40" i="4"/>
  <c r="P39" i="4"/>
  <c r="O39" i="4"/>
  <c r="N39" i="4"/>
  <c r="M39" i="4"/>
  <c r="L39" i="4"/>
  <c r="J39" i="4"/>
  <c r="I39" i="4"/>
  <c r="H39" i="4"/>
  <c r="G39" i="4"/>
  <c r="E39" i="4"/>
  <c r="P36" i="4"/>
  <c r="O36" i="4"/>
  <c r="N36" i="4"/>
  <c r="M36" i="4"/>
  <c r="L36" i="4"/>
  <c r="J36" i="4"/>
  <c r="I36" i="4"/>
  <c r="H36" i="4"/>
  <c r="G36" i="4"/>
  <c r="E36" i="4"/>
  <c r="P35" i="4"/>
  <c r="O35" i="4"/>
  <c r="N35" i="4"/>
  <c r="M35" i="4"/>
  <c r="L35" i="4"/>
  <c r="J35" i="4"/>
  <c r="I35" i="4"/>
  <c r="H35" i="4"/>
  <c r="G35" i="4"/>
  <c r="E35" i="4"/>
  <c r="P34" i="4"/>
  <c r="O34" i="4"/>
  <c r="N34" i="4"/>
  <c r="M34" i="4"/>
  <c r="L34" i="4"/>
  <c r="J34" i="4"/>
  <c r="I34" i="4"/>
  <c r="H34" i="4"/>
  <c r="G34" i="4"/>
  <c r="E34" i="4"/>
  <c r="P22" i="4"/>
  <c r="O22" i="4"/>
  <c r="N22" i="4"/>
  <c r="M22" i="4"/>
  <c r="L22" i="4"/>
  <c r="J22" i="4"/>
  <c r="I22" i="4"/>
  <c r="H22" i="4"/>
  <c r="G22" i="4"/>
  <c r="E22" i="4"/>
  <c r="P17" i="4"/>
  <c r="O17" i="4"/>
  <c r="N17" i="4"/>
  <c r="M17" i="4"/>
  <c r="L17" i="4"/>
  <c r="J17" i="4"/>
  <c r="I17" i="4"/>
  <c r="H17" i="4"/>
  <c r="G17" i="4"/>
  <c r="E17" i="4"/>
  <c r="D11" i="2"/>
  <c r="E17" i="2"/>
  <c r="E18" i="2"/>
  <c r="E19" i="2"/>
  <c r="E16" i="2"/>
  <c r="E12" i="2"/>
  <c r="E13" i="2"/>
  <c r="E14" i="2"/>
  <c r="D41" i="7"/>
  <c r="D40" i="7"/>
  <c r="D36" i="7"/>
  <c r="D35" i="7"/>
  <c r="T31" i="7"/>
  <c r="P31" i="7"/>
  <c r="N31" i="7"/>
  <c r="R31" i="7" s="1"/>
  <c r="M31" i="7"/>
  <c r="J39" i="7" s="1"/>
  <c r="L31" i="7"/>
  <c r="U31" i="7" s="1"/>
  <c r="T30" i="7"/>
  <c r="P30" i="7"/>
  <c r="N30" i="7"/>
  <c r="M30" i="7"/>
  <c r="L30" i="7"/>
  <c r="M29" i="7"/>
  <c r="L29" i="7"/>
  <c r="M28" i="7"/>
  <c r="L25" i="7" s="1"/>
  <c r="L28" i="7"/>
  <c r="T27" i="7"/>
  <c r="P27" i="7"/>
  <c r="N27" i="7"/>
  <c r="M27" i="7"/>
  <c r="L27" i="7"/>
  <c r="N25" i="7"/>
  <c r="K33" i="7" s="1"/>
  <c r="D193" i="7"/>
  <c r="D192" i="7"/>
  <c r="D191" i="7"/>
  <c r="D190" i="7"/>
  <c r="D188" i="7"/>
  <c r="D187" i="7"/>
  <c r="T183" i="7"/>
  <c r="P183" i="7"/>
  <c r="N183" i="7"/>
  <c r="M183" i="7"/>
  <c r="L183" i="7"/>
  <c r="T182" i="7"/>
  <c r="P182" i="7"/>
  <c r="N182" i="7"/>
  <c r="M182" i="7"/>
  <c r="L182" i="7"/>
  <c r="U182" i="7" s="1"/>
  <c r="M181" i="7"/>
  <c r="L181" i="7"/>
  <c r="N181" i="7" s="1"/>
  <c r="M180" i="7"/>
  <c r="L177" i="7" s="1"/>
  <c r="L180" i="7"/>
  <c r="M179" i="7"/>
  <c r="L179" i="7"/>
  <c r="N179" i="7" s="1"/>
  <c r="N177" i="7"/>
  <c r="K193" i="7" s="1"/>
  <c r="D174" i="7"/>
  <c r="D173" i="7"/>
  <c r="D172" i="7"/>
  <c r="D171" i="7"/>
  <c r="D169" i="7"/>
  <c r="D168" i="7"/>
  <c r="D166" i="7"/>
  <c r="T164" i="7"/>
  <c r="P164" i="7"/>
  <c r="N164" i="7"/>
  <c r="M164" i="7"/>
  <c r="L164" i="7"/>
  <c r="U164" i="7" s="1"/>
  <c r="T163" i="7"/>
  <c r="P163" i="7"/>
  <c r="N163" i="7"/>
  <c r="M163" i="7"/>
  <c r="I167" i="7" s="1"/>
  <c r="L163" i="7"/>
  <c r="Q163" i="7" s="1"/>
  <c r="M162" i="7"/>
  <c r="L162" i="7"/>
  <c r="N162" i="7" s="1"/>
  <c r="M161" i="7"/>
  <c r="L161" i="7"/>
  <c r="N161" i="7" s="1"/>
  <c r="O161" i="7" s="1"/>
  <c r="S161" i="7" s="1"/>
  <c r="M160" i="7"/>
  <c r="L160" i="7"/>
  <c r="N160" i="7" s="1"/>
  <c r="D155" i="7"/>
  <c r="D154" i="7"/>
  <c r="D153" i="7"/>
  <c r="D152" i="7"/>
  <c r="D150" i="7"/>
  <c r="D149" i="7"/>
  <c r="D147" i="7"/>
  <c r="T145" i="7"/>
  <c r="P145" i="7"/>
  <c r="N145" i="7"/>
  <c r="M145" i="7"/>
  <c r="L145" i="7"/>
  <c r="U145" i="7" s="1"/>
  <c r="N144" i="7"/>
  <c r="M144" i="7"/>
  <c r="L144" i="7"/>
  <c r="M143" i="7"/>
  <c r="L143" i="7"/>
  <c r="M142" i="7"/>
  <c r="L142" i="7"/>
  <c r="N142" i="7" s="1"/>
  <c r="N141" i="7"/>
  <c r="M141" i="7"/>
  <c r="N139" i="7" s="1"/>
  <c r="L141" i="7"/>
  <c r="D136" i="7"/>
  <c r="D135" i="7"/>
  <c r="D134" i="7"/>
  <c r="D133" i="7"/>
  <c r="D131" i="7"/>
  <c r="D130" i="7"/>
  <c r="D129" i="7"/>
  <c r="T126" i="7"/>
  <c r="P126" i="7"/>
  <c r="N126" i="7"/>
  <c r="M126" i="7"/>
  <c r="L126" i="7"/>
  <c r="U126" i="7" s="1"/>
  <c r="T125" i="7"/>
  <c r="P125" i="7"/>
  <c r="N125" i="7"/>
  <c r="M125" i="7"/>
  <c r="L125" i="7"/>
  <c r="M124" i="7"/>
  <c r="L124" i="7"/>
  <c r="N124" i="7" s="1"/>
  <c r="M123" i="7"/>
  <c r="L123" i="7"/>
  <c r="M122" i="7"/>
  <c r="N120" i="7" s="1"/>
  <c r="L122" i="7"/>
  <c r="N122" i="7" s="1"/>
  <c r="D117" i="7"/>
  <c r="D116" i="7"/>
  <c r="D115" i="7"/>
  <c r="D114" i="7"/>
  <c r="D112" i="7"/>
  <c r="D111" i="7"/>
  <c r="D109" i="7"/>
  <c r="M107" i="7"/>
  <c r="L107" i="7"/>
  <c r="U107" i="7" s="1"/>
  <c r="M106" i="7"/>
  <c r="L106" i="7"/>
  <c r="N106" i="7" s="1"/>
  <c r="M105" i="7"/>
  <c r="L105" i="7"/>
  <c r="N105" i="7" s="1"/>
  <c r="M104" i="7"/>
  <c r="L104" i="7"/>
  <c r="N104" i="7" s="1"/>
  <c r="T103" i="7"/>
  <c r="P103" i="7"/>
  <c r="N103" i="7"/>
  <c r="M103" i="7"/>
  <c r="L103" i="7"/>
  <c r="O103" i="7" s="1"/>
  <c r="N101" i="7"/>
  <c r="F116" i="7" s="1"/>
  <c r="L101" i="7"/>
  <c r="D98" i="7"/>
  <c r="D97" i="7"/>
  <c r="D96" i="7"/>
  <c r="D95" i="7"/>
  <c r="D93" i="7"/>
  <c r="D92" i="7"/>
  <c r="D91" i="7"/>
  <c r="T88" i="7"/>
  <c r="P88" i="7"/>
  <c r="N88" i="7"/>
  <c r="R88" i="7" s="1"/>
  <c r="M88" i="7"/>
  <c r="L88" i="7"/>
  <c r="U88" i="7" s="1"/>
  <c r="M87" i="7"/>
  <c r="L87" i="7"/>
  <c r="M86" i="7"/>
  <c r="L86" i="7"/>
  <c r="M85" i="7"/>
  <c r="L85" i="7"/>
  <c r="T84" i="7"/>
  <c r="P84" i="7"/>
  <c r="N84" i="7"/>
  <c r="M84" i="7"/>
  <c r="L84" i="7"/>
  <c r="N82" i="7"/>
  <c r="F93" i="7" s="1"/>
  <c r="L82" i="7"/>
  <c r="D79" i="7"/>
  <c r="D78" i="7"/>
  <c r="D77" i="7"/>
  <c r="D76" i="7"/>
  <c r="D74" i="7"/>
  <c r="T69" i="7"/>
  <c r="P69" i="7"/>
  <c r="N69" i="7"/>
  <c r="M69" i="7"/>
  <c r="L69" i="7"/>
  <c r="Q69" i="7" s="1"/>
  <c r="T68" i="7"/>
  <c r="P68" i="7"/>
  <c r="N68" i="7"/>
  <c r="M68" i="7"/>
  <c r="L68" i="7"/>
  <c r="M67" i="7"/>
  <c r="L67" i="7"/>
  <c r="N67" i="7" s="1"/>
  <c r="N66" i="7"/>
  <c r="M66" i="7"/>
  <c r="L63" i="7" s="1"/>
  <c r="L66" i="7"/>
  <c r="M65" i="7"/>
  <c r="L65" i="7"/>
  <c r="N65" i="7" s="1"/>
  <c r="D60" i="7"/>
  <c r="D59" i="7"/>
  <c r="D57" i="7"/>
  <c r="D55" i="7"/>
  <c r="T50" i="7"/>
  <c r="P50" i="7"/>
  <c r="N50" i="7"/>
  <c r="R50" i="7" s="1"/>
  <c r="M50" i="7"/>
  <c r="L50" i="7"/>
  <c r="U50" i="7" s="1"/>
  <c r="T49" i="7"/>
  <c r="P49" i="7"/>
  <c r="N49" i="7"/>
  <c r="M49" i="7"/>
  <c r="L49" i="7"/>
  <c r="O49" i="7" s="1"/>
  <c r="M48" i="7"/>
  <c r="L48" i="7"/>
  <c r="N48" i="7" s="1"/>
  <c r="N47" i="7"/>
  <c r="M47" i="7"/>
  <c r="N44" i="7" s="1"/>
  <c r="L47" i="7"/>
  <c r="M46" i="7"/>
  <c r="L46" i="7"/>
  <c r="N46" i="7" s="1"/>
  <c r="D22" i="7"/>
  <c r="D21" i="7"/>
  <c r="D17" i="7"/>
  <c r="D16" i="7"/>
  <c r="T12" i="7"/>
  <c r="P12" i="7"/>
  <c r="N12" i="7"/>
  <c r="R12" i="7" s="1"/>
  <c r="M12" i="7"/>
  <c r="L12" i="7"/>
  <c r="U12" i="7" s="1"/>
  <c r="T11" i="7"/>
  <c r="P11" i="7"/>
  <c r="N11" i="7"/>
  <c r="M11" i="7"/>
  <c r="L11" i="7"/>
  <c r="M10" i="7"/>
  <c r="L10" i="7"/>
  <c r="N10" i="7" s="1"/>
  <c r="M9" i="7"/>
  <c r="L6" i="7" s="1"/>
  <c r="L9" i="7"/>
  <c r="T8" i="7"/>
  <c r="P8" i="7"/>
  <c r="N8" i="7"/>
  <c r="M8" i="7"/>
  <c r="L8" i="7"/>
  <c r="N6" i="7"/>
  <c r="K21" i="7" s="1"/>
  <c r="D117" i="6"/>
  <c r="D116" i="6"/>
  <c r="D115" i="6"/>
  <c r="D114" i="6"/>
  <c r="D111" i="6"/>
  <c r="D110" i="6"/>
  <c r="D109" i="6"/>
  <c r="T107" i="6"/>
  <c r="P107" i="6"/>
  <c r="N107" i="6"/>
  <c r="R107" i="6" s="1"/>
  <c r="M107" i="6"/>
  <c r="L107" i="6"/>
  <c r="U107" i="6" s="1"/>
  <c r="T106" i="6"/>
  <c r="P106" i="6"/>
  <c r="N106" i="6"/>
  <c r="M106" i="6"/>
  <c r="L106" i="6"/>
  <c r="M105" i="6"/>
  <c r="L105" i="6"/>
  <c r="M104" i="6"/>
  <c r="L104" i="6"/>
  <c r="N104" i="6" s="1"/>
  <c r="M103" i="6"/>
  <c r="L103" i="6"/>
  <c r="N103" i="6" s="1"/>
  <c r="D98" i="6"/>
  <c r="D97" i="6"/>
  <c r="D96" i="6"/>
  <c r="D95" i="6"/>
  <c r="D92" i="6"/>
  <c r="T88" i="6"/>
  <c r="P88" i="6"/>
  <c r="N88" i="6"/>
  <c r="M88" i="6"/>
  <c r="L88" i="6"/>
  <c r="U88" i="6" s="1"/>
  <c r="T87" i="6"/>
  <c r="P87" i="6"/>
  <c r="N87" i="6"/>
  <c r="M87" i="6"/>
  <c r="L87" i="6"/>
  <c r="M86" i="6"/>
  <c r="L86" i="6"/>
  <c r="M85" i="6"/>
  <c r="L85" i="6"/>
  <c r="N84" i="6"/>
  <c r="M84" i="6"/>
  <c r="L82" i="6" s="1"/>
  <c r="L84" i="6"/>
  <c r="H3" i="11"/>
  <c r="L3" i="10"/>
  <c r="R3" i="5"/>
  <c r="V3" i="8"/>
  <c r="N3" i="6"/>
  <c r="B3" i="4"/>
  <c r="T3" i="5"/>
  <c r="P3" i="7"/>
  <c r="J3" i="6"/>
  <c r="H3" i="10"/>
  <c r="H3" i="5"/>
  <c r="D3" i="10"/>
  <c r="H3" i="7"/>
  <c r="N3" i="8"/>
  <c r="N3" i="10"/>
  <c r="P3" i="4"/>
  <c r="V3" i="7"/>
  <c r="L3" i="4"/>
  <c r="B3" i="5"/>
  <c r="L3" i="7"/>
  <c r="B3" i="8"/>
  <c r="N3" i="11"/>
  <c r="T3" i="10"/>
  <c r="P3" i="6"/>
  <c r="V3" i="4"/>
  <c r="F3" i="4"/>
  <c r="P3" i="9"/>
  <c r="V3" i="6"/>
  <c r="L3" i="8"/>
  <c r="F3" i="10"/>
  <c r="F3" i="6"/>
  <c r="J3" i="8"/>
  <c r="L3" i="9"/>
  <c r="J3" i="4"/>
  <c r="J3" i="7"/>
  <c r="T3" i="4"/>
  <c r="D3" i="4"/>
  <c r="D3" i="6"/>
  <c r="B3" i="9"/>
  <c r="F3" i="7"/>
  <c r="D3" i="5"/>
  <c r="J3" i="11"/>
  <c r="D3" i="7"/>
  <c r="P3" i="8"/>
  <c r="R3" i="4"/>
  <c r="R3" i="6"/>
  <c r="J3" i="9"/>
  <c r="F3" i="9"/>
  <c r="B3" i="7"/>
  <c r="H3" i="4"/>
  <c r="F3" i="8"/>
  <c r="H3" i="9"/>
  <c r="T3" i="6"/>
  <c r="H3" i="6"/>
  <c r="R3" i="9"/>
  <c r="T3" i="9"/>
  <c r="P3" i="11"/>
  <c r="N3" i="5"/>
  <c r="D3" i="8"/>
  <c r="R3" i="8"/>
  <c r="T3" i="7"/>
  <c r="P3" i="5"/>
  <c r="R3" i="10"/>
  <c r="B3" i="6"/>
  <c r="F3" i="11"/>
  <c r="R3" i="11"/>
  <c r="N3" i="4"/>
  <c r="V3" i="9"/>
  <c r="V3" i="5"/>
  <c r="J3" i="10"/>
  <c r="L3" i="11"/>
  <c r="P3" i="10"/>
  <c r="N3" i="9"/>
  <c r="H3" i="8"/>
  <c r="B3" i="11"/>
  <c r="B3" i="10"/>
  <c r="L3" i="6"/>
  <c r="J3" i="5"/>
  <c r="D3" i="9"/>
  <c r="V3" i="11"/>
  <c r="D3" i="11"/>
  <c r="L3" i="5"/>
  <c r="N3" i="7"/>
  <c r="R3" i="7"/>
  <c r="V3" i="10"/>
  <c r="T3" i="8"/>
  <c r="F3" i="5"/>
  <c r="T3" i="11"/>
  <c r="Q162" i="8" l="1"/>
  <c r="H166" i="8"/>
  <c r="J166" i="8"/>
  <c r="Q164" i="8"/>
  <c r="R163" i="8" s="1"/>
  <c r="Q163" i="8"/>
  <c r="L177" i="8"/>
  <c r="N179" i="8"/>
  <c r="O179" i="8" s="1"/>
  <c r="T180" i="8"/>
  <c r="P180" i="8"/>
  <c r="N181" i="8"/>
  <c r="O164" i="8"/>
  <c r="S164" i="8" s="1"/>
  <c r="V164" i="8" s="1"/>
  <c r="O171" i="8" s="1"/>
  <c r="Q179" i="8"/>
  <c r="Q182" i="8"/>
  <c r="I185" i="8" s="1"/>
  <c r="U179" i="8"/>
  <c r="F190" i="8" s="1"/>
  <c r="Q181" i="8"/>
  <c r="H185" i="8" s="1"/>
  <c r="O183" i="8"/>
  <c r="S183" i="8" s="1"/>
  <c r="V183" i="8" s="1"/>
  <c r="O190" i="8" s="1"/>
  <c r="U162" i="8"/>
  <c r="I171" i="8"/>
  <c r="Q183" i="8"/>
  <c r="O163" i="8"/>
  <c r="S163" i="8" s="1"/>
  <c r="V163" i="8" s="1"/>
  <c r="N171" i="8" s="1"/>
  <c r="J171" i="8"/>
  <c r="O181" i="8"/>
  <c r="K188" i="8"/>
  <c r="P188" i="8" s="1"/>
  <c r="S180" i="8"/>
  <c r="V180" i="8" s="1"/>
  <c r="U182" i="8"/>
  <c r="R183" i="8"/>
  <c r="F188" i="8"/>
  <c r="T188" i="8" s="1"/>
  <c r="F193" i="8"/>
  <c r="F186" i="8"/>
  <c r="T186" i="8" s="1"/>
  <c r="O182" i="8"/>
  <c r="S182" i="8" s="1"/>
  <c r="V182" i="8" s="1"/>
  <c r="K186" i="8"/>
  <c r="K191" i="8"/>
  <c r="F191" i="8"/>
  <c r="T191" i="8" s="1"/>
  <c r="F187" i="8"/>
  <c r="Q161" i="8"/>
  <c r="U161" i="8"/>
  <c r="Q160" i="8"/>
  <c r="N161" i="8"/>
  <c r="O161" i="8" s="1"/>
  <c r="N162" i="8"/>
  <c r="O162" i="8" s="1"/>
  <c r="K169" i="8"/>
  <c r="K174" i="8"/>
  <c r="F167" i="8"/>
  <c r="T167" i="8" s="1"/>
  <c r="U160" i="8"/>
  <c r="F166" i="8"/>
  <c r="F171" i="8"/>
  <c r="R164" i="8"/>
  <c r="O166" i="8" s="1"/>
  <c r="K168" i="8"/>
  <c r="K173" i="8"/>
  <c r="O160" i="8"/>
  <c r="S160" i="8" s="1"/>
  <c r="F169" i="8"/>
  <c r="F174" i="8"/>
  <c r="F172" i="8"/>
  <c r="T172" i="8" s="1"/>
  <c r="R162" i="8"/>
  <c r="M166" i="8" s="1"/>
  <c r="K167" i="8"/>
  <c r="K172" i="8"/>
  <c r="F168" i="8"/>
  <c r="T168" i="8" s="1"/>
  <c r="F173" i="8"/>
  <c r="T173" i="8" s="1"/>
  <c r="K166" i="8"/>
  <c r="U144" i="8"/>
  <c r="J114" i="8"/>
  <c r="O14" i="8"/>
  <c r="Q106" i="8"/>
  <c r="I110" i="8" s="1"/>
  <c r="F14" i="8"/>
  <c r="K147" i="8"/>
  <c r="Q107" i="8"/>
  <c r="R106" i="8" s="1"/>
  <c r="O50" i="8"/>
  <c r="S50" i="8" s="1"/>
  <c r="V50" i="8" s="1"/>
  <c r="I152" i="8"/>
  <c r="Q199" i="8"/>
  <c r="G204" i="8" s="1"/>
  <c r="Q124" i="8"/>
  <c r="H128" i="8" s="1"/>
  <c r="U68" i="8"/>
  <c r="I76" i="8" s="1"/>
  <c r="O107" i="8"/>
  <c r="S107" i="8" s="1"/>
  <c r="V107" i="8" s="1"/>
  <c r="O114" i="8" s="1"/>
  <c r="O31" i="8"/>
  <c r="S31" i="8" s="1"/>
  <c r="V31" i="8" s="1"/>
  <c r="L120" i="8"/>
  <c r="Q87" i="8"/>
  <c r="I90" i="8" s="1"/>
  <c r="F98" i="8"/>
  <c r="F152" i="8"/>
  <c r="K153" i="8"/>
  <c r="F154" i="8"/>
  <c r="T154" i="8" s="1"/>
  <c r="K155" i="8"/>
  <c r="K212" i="8"/>
  <c r="Q30" i="8"/>
  <c r="I36" i="8" s="1"/>
  <c r="O33" i="8"/>
  <c r="O36" i="8"/>
  <c r="J36" i="8"/>
  <c r="J33" i="8"/>
  <c r="R30" i="8"/>
  <c r="J95" i="8"/>
  <c r="J14" i="8"/>
  <c r="R11" i="8"/>
  <c r="U12" i="8"/>
  <c r="K22" i="8"/>
  <c r="Q27" i="8"/>
  <c r="U31" i="8"/>
  <c r="J41" i="8" s="1"/>
  <c r="U66" i="8"/>
  <c r="G76" i="8" s="1"/>
  <c r="F93" i="8"/>
  <c r="N120" i="8"/>
  <c r="K131" i="8" s="1"/>
  <c r="K152" i="8"/>
  <c r="Q66" i="8"/>
  <c r="R65" i="8" s="1"/>
  <c r="J76" i="8"/>
  <c r="K17" i="8"/>
  <c r="U48" i="8"/>
  <c r="Q69" i="8"/>
  <c r="O12" i="8"/>
  <c r="S12" i="8" s="1"/>
  <c r="V12" i="8" s="1"/>
  <c r="T78" i="8"/>
  <c r="N66" i="8"/>
  <c r="Q68" i="8"/>
  <c r="K93" i="8"/>
  <c r="J96" i="8"/>
  <c r="J98" i="8"/>
  <c r="J115" i="8"/>
  <c r="U125" i="8"/>
  <c r="J133" i="8"/>
  <c r="Q142" i="8"/>
  <c r="G147" i="8" s="1"/>
  <c r="F19" i="8"/>
  <c r="Q88" i="8"/>
  <c r="R87" i="8" s="1"/>
  <c r="J134" i="8"/>
  <c r="O144" i="8"/>
  <c r="S144" i="8" s="1"/>
  <c r="Q11" i="8"/>
  <c r="R10" i="8" s="1"/>
  <c r="Q49" i="8"/>
  <c r="Q65" i="8"/>
  <c r="Q67" i="8"/>
  <c r="K98" i="8"/>
  <c r="O126" i="8"/>
  <c r="S126" i="8" s="1"/>
  <c r="V126" i="8" s="1"/>
  <c r="F147" i="8"/>
  <c r="K148" i="8"/>
  <c r="F149" i="8"/>
  <c r="T149" i="8" s="1"/>
  <c r="K150" i="8"/>
  <c r="U28" i="8"/>
  <c r="G38" i="8" s="1"/>
  <c r="Q50" i="8"/>
  <c r="R49" i="8" s="1"/>
  <c r="Q122" i="8"/>
  <c r="O125" i="8"/>
  <c r="S125" i="8" s="1"/>
  <c r="Q143" i="8"/>
  <c r="H147" i="8" s="1"/>
  <c r="R107" i="8"/>
  <c r="U29" i="8"/>
  <c r="U50" i="8"/>
  <c r="Q125" i="8"/>
  <c r="Q107" i="6"/>
  <c r="N82" i="6"/>
  <c r="F95" i="6" s="1"/>
  <c r="T95" i="6" s="1"/>
  <c r="O87" i="6"/>
  <c r="S87" i="6" s="1"/>
  <c r="N101" i="6"/>
  <c r="K111" i="6" s="1"/>
  <c r="Q106" i="6"/>
  <c r="P36" i="9"/>
  <c r="U123" i="9"/>
  <c r="N48" i="8"/>
  <c r="Q48" i="8"/>
  <c r="H52" i="8" s="1"/>
  <c r="U47" i="8"/>
  <c r="R198" i="10"/>
  <c r="Q200" i="10"/>
  <c r="R199" i="10" s="1"/>
  <c r="N201" i="10"/>
  <c r="O201" i="10" s="1"/>
  <c r="O199" i="10"/>
  <c r="Q201" i="10"/>
  <c r="R200" i="10" s="1"/>
  <c r="O180" i="10"/>
  <c r="Q179" i="10"/>
  <c r="Q181" i="10"/>
  <c r="R180" i="10" s="1"/>
  <c r="U182" i="10"/>
  <c r="R179" i="10"/>
  <c r="O181" i="10"/>
  <c r="K171" i="10"/>
  <c r="K169" i="10"/>
  <c r="K174" i="10"/>
  <c r="F168" i="10"/>
  <c r="T168" i="10" s="1"/>
  <c r="F173" i="10"/>
  <c r="T161" i="10"/>
  <c r="P161" i="10"/>
  <c r="Q162" i="10"/>
  <c r="Q163" i="10"/>
  <c r="L158" i="10"/>
  <c r="N162" i="10"/>
  <c r="Q160" i="10"/>
  <c r="O163" i="10"/>
  <c r="N160" i="10"/>
  <c r="O143" i="10"/>
  <c r="O142" i="10"/>
  <c r="N144" i="10"/>
  <c r="R144" i="10" s="1"/>
  <c r="R141" i="10"/>
  <c r="Q144" i="10"/>
  <c r="R143" i="10" s="1"/>
  <c r="N124" i="10"/>
  <c r="R124" i="10" s="1"/>
  <c r="O122" i="10"/>
  <c r="S122" i="10" s="1"/>
  <c r="V122" i="10" s="1"/>
  <c r="Q124" i="10"/>
  <c r="R123" i="10" s="1"/>
  <c r="Q123" i="10"/>
  <c r="R122" i="10"/>
  <c r="U124" i="10"/>
  <c r="O123" i="10"/>
  <c r="N125" i="10"/>
  <c r="R125" i="10" s="1"/>
  <c r="S104" i="10"/>
  <c r="V104" i="10" s="1"/>
  <c r="T104" i="10"/>
  <c r="P104" i="10"/>
  <c r="Q105" i="10"/>
  <c r="N106" i="10"/>
  <c r="O106" i="10"/>
  <c r="Q103" i="10"/>
  <c r="Q106" i="10"/>
  <c r="R103" i="10"/>
  <c r="O85" i="10"/>
  <c r="S85" i="10"/>
  <c r="V85" i="10" s="1"/>
  <c r="N84" i="10"/>
  <c r="F77" i="10"/>
  <c r="L63" i="10"/>
  <c r="O68" i="10"/>
  <c r="O67" i="10"/>
  <c r="O66" i="10"/>
  <c r="S68" i="10"/>
  <c r="V68" i="10" s="1"/>
  <c r="O65" i="10"/>
  <c r="Q67" i="10"/>
  <c r="U47" i="10"/>
  <c r="N49" i="10"/>
  <c r="R49" i="10" s="1"/>
  <c r="K52" i="10"/>
  <c r="Q48" i="10"/>
  <c r="R47" i="10" s="1"/>
  <c r="K60" i="10"/>
  <c r="K55" i="10"/>
  <c r="F57" i="10"/>
  <c r="T57" i="10" s="1"/>
  <c r="N47" i="10"/>
  <c r="F52" i="10"/>
  <c r="T52" i="10" s="1"/>
  <c r="Q46" i="10"/>
  <c r="S28" i="10"/>
  <c r="V28" i="10" s="1"/>
  <c r="L38" i="10" s="1"/>
  <c r="P38" i="10" s="1"/>
  <c r="T28" i="10"/>
  <c r="P28" i="10"/>
  <c r="Q24" i="10" s="1"/>
  <c r="Q30" i="10"/>
  <c r="R27" i="10"/>
  <c r="U30" i="10"/>
  <c r="R8" i="10"/>
  <c r="O9" i="10"/>
  <c r="F17" i="10"/>
  <c r="T17" i="10" s="1"/>
  <c r="S199" i="10"/>
  <c r="V199" i="10" s="1"/>
  <c r="F205" i="10"/>
  <c r="T205" i="10" s="1"/>
  <c r="S201" i="10"/>
  <c r="V201" i="10" s="1"/>
  <c r="K207" i="10"/>
  <c r="K212" i="10"/>
  <c r="O200" i="10"/>
  <c r="F204" i="10"/>
  <c r="T204" i="10" s="1"/>
  <c r="F209" i="10"/>
  <c r="T209" i="10" s="1"/>
  <c r="K206" i="10"/>
  <c r="K211" i="10"/>
  <c r="F210" i="10"/>
  <c r="T210" i="10" s="1"/>
  <c r="O198" i="10"/>
  <c r="S198" i="10" s="1"/>
  <c r="V198" i="10" s="1"/>
  <c r="F207" i="10"/>
  <c r="T207" i="10" s="1"/>
  <c r="F212" i="10"/>
  <c r="T212" i="10" s="1"/>
  <c r="K205" i="10"/>
  <c r="P205" i="10" s="1"/>
  <c r="K210" i="10"/>
  <c r="F206" i="10"/>
  <c r="T206" i="10" s="1"/>
  <c r="F211" i="10"/>
  <c r="T211" i="10" s="1"/>
  <c r="K204" i="10"/>
  <c r="P204" i="10" s="1"/>
  <c r="S181" i="10"/>
  <c r="V181" i="10" s="1"/>
  <c r="F186" i="10"/>
  <c r="T186" i="10" s="1"/>
  <c r="F191" i="10"/>
  <c r="T191" i="10" s="1"/>
  <c r="K188" i="10"/>
  <c r="K193" i="10"/>
  <c r="U179" i="10"/>
  <c r="F185" i="10"/>
  <c r="T185" i="10" s="1"/>
  <c r="F190" i="10"/>
  <c r="T190" i="10" s="1"/>
  <c r="K187" i="10"/>
  <c r="K192" i="10"/>
  <c r="O179" i="10"/>
  <c r="S179" i="10" s="1"/>
  <c r="V179" i="10" s="1"/>
  <c r="F188" i="10"/>
  <c r="T188" i="10" s="1"/>
  <c r="F193" i="10"/>
  <c r="T193" i="10" s="1"/>
  <c r="R181" i="10"/>
  <c r="O182" i="10"/>
  <c r="S182" i="10" s="1"/>
  <c r="V182" i="10" s="1"/>
  <c r="K186" i="10"/>
  <c r="P186" i="10" s="1"/>
  <c r="K191" i="10"/>
  <c r="F187" i="10"/>
  <c r="T187" i="10" s="1"/>
  <c r="F192" i="10"/>
  <c r="T192" i="10" s="1"/>
  <c r="K185" i="10"/>
  <c r="P185" i="10" s="1"/>
  <c r="R163" i="10"/>
  <c r="U162" i="10"/>
  <c r="O164" i="10"/>
  <c r="S164" i="10" s="1"/>
  <c r="V164" i="10" s="1"/>
  <c r="F167" i="10"/>
  <c r="T167" i="10" s="1"/>
  <c r="F172" i="10"/>
  <c r="T172" i="10" s="1"/>
  <c r="U160" i="10"/>
  <c r="R161" i="10"/>
  <c r="O162" i="10"/>
  <c r="F166" i="10"/>
  <c r="T166" i="10" s="1"/>
  <c r="F171" i="10"/>
  <c r="T171" i="10" s="1"/>
  <c r="S161" i="10"/>
  <c r="V161" i="10" s="1"/>
  <c r="R164" i="10"/>
  <c r="K168" i="10"/>
  <c r="P168" i="10" s="1"/>
  <c r="O160" i="10"/>
  <c r="F169" i="10"/>
  <c r="T169" i="10" s="1"/>
  <c r="F174" i="10"/>
  <c r="T174" i="10" s="1"/>
  <c r="R162" i="10"/>
  <c r="K167" i="10"/>
  <c r="K172" i="10"/>
  <c r="K166" i="10"/>
  <c r="S142" i="10"/>
  <c r="V142" i="10" s="1"/>
  <c r="L154" i="10" s="1"/>
  <c r="K150" i="10"/>
  <c r="K155" i="10"/>
  <c r="U141" i="10"/>
  <c r="R142" i="10"/>
  <c r="F147" i="10"/>
  <c r="T147" i="10" s="1"/>
  <c r="F152" i="10"/>
  <c r="T152" i="10" s="1"/>
  <c r="K149" i="10"/>
  <c r="P149" i="10" s="1"/>
  <c r="K154" i="10"/>
  <c r="F150" i="10"/>
  <c r="T150" i="10" s="1"/>
  <c r="F155" i="10"/>
  <c r="T155" i="10" s="1"/>
  <c r="F153" i="10"/>
  <c r="T153" i="10" s="1"/>
  <c r="K148" i="10"/>
  <c r="K153" i="10"/>
  <c r="F149" i="10"/>
  <c r="T149" i="10" s="1"/>
  <c r="F154" i="10"/>
  <c r="T154" i="10" s="1"/>
  <c r="F148" i="10"/>
  <c r="T148" i="10" s="1"/>
  <c r="K147" i="10"/>
  <c r="S123" i="10"/>
  <c r="K131" i="10"/>
  <c r="K136" i="10"/>
  <c r="U122" i="10"/>
  <c r="F128" i="10"/>
  <c r="T128" i="10" s="1"/>
  <c r="F133" i="10"/>
  <c r="T133" i="10" s="1"/>
  <c r="U125" i="10"/>
  <c r="K130" i="10"/>
  <c r="P130" i="10" s="1"/>
  <c r="K135" i="10"/>
  <c r="F129" i="10"/>
  <c r="T129" i="10" s="1"/>
  <c r="F131" i="10"/>
  <c r="T131" i="10" s="1"/>
  <c r="F136" i="10"/>
  <c r="T136" i="10" s="1"/>
  <c r="O125" i="10"/>
  <c r="K129" i="10"/>
  <c r="K134" i="10"/>
  <c r="Q122" i="10"/>
  <c r="F130" i="10"/>
  <c r="T130" i="10" s="1"/>
  <c r="F135" i="10"/>
  <c r="T135" i="10" s="1"/>
  <c r="F134" i="10"/>
  <c r="T134" i="10" s="1"/>
  <c r="K128" i="10"/>
  <c r="R104" i="10"/>
  <c r="K112" i="10"/>
  <c r="K117" i="10"/>
  <c r="U103" i="10"/>
  <c r="O105" i="10"/>
  <c r="Q107" i="10"/>
  <c r="R106" i="10" s="1"/>
  <c r="F109" i="10"/>
  <c r="T109" i="10" s="1"/>
  <c r="F114" i="10"/>
  <c r="T114" i="10" s="1"/>
  <c r="R107" i="10"/>
  <c r="K111" i="10"/>
  <c r="P111" i="10" s="1"/>
  <c r="K116" i="10"/>
  <c r="F110" i="10"/>
  <c r="T110" i="10" s="1"/>
  <c r="O103" i="10"/>
  <c r="S103" i="10" s="1"/>
  <c r="V103" i="10" s="1"/>
  <c r="F112" i="10"/>
  <c r="T112" i="10" s="1"/>
  <c r="F117" i="10"/>
  <c r="T117" i="10" s="1"/>
  <c r="R105" i="10"/>
  <c r="K110" i="10"/>
  <c r="K115" i="10"/>
  <c r="F115" i="10"/>
  <c r="T115" i="10" s="1"/>
  <c r="F111" i="10"/>
  <c r="T111" i="10" s="1"/>
  <c r="F116" i="10"/>
  <c r="T116" i="10" s="1"/>
  <c r="K109" i="10"/>
  <c r="P109" i="10" s="1"/>
  <c r="S86" i="10"/>
  <c r="K93" i="10"/>
  <c r="K98" i="10"/>
  <c r="U84" i="10"/>
  <c r="O86" i="10"/>
  <c r="F90" i="10"/>
  <c r="T90" i="10" s="1"/>
  <c r="F95" i="10"/>
  <c r="U87" i="10"/>
  <c r="K92" i="10"/>
  <c r="K97" i="10"/>
  <c r="Q86" i="10"/>
  <c r="R85" i="10" s="1"/>
  <c r="F93" i="10"/>
  <c r="T93" i="10" s="1"/>
  <c r="F98" i="10"/>
  <c r="T98" i="10" s="1"/>
  <c r="R86" i="10"/>
  <c r="O87" i="10"/>
  <c r="S87" i="10" s="1"/>
  <c r="V87" i="10" s="1"/>
  <c r="K91" i="10"/>
  <c r="K96" i="10"/>
  <c r="F96" i="10"/>
  <c r="T96" i="10" s="1"/>
  <c r="F92" i="10"/>
  <c r="T92" i="10" s="1"/>
  <c r="F97" i="10"/>
  <c r="T97" i="10" s="1"/>
  <c r="F91" i="10"/>
  <c r="T91" i="10" s="1"/>
  <c r="K90" i="10"/>
  <c r="P90" i="10" s="1"/>
  <c r="S66" i="10"/>
  <c r="V66" i="10" s="1"/>
  <c r="F72" i="10"/>
  <c r="T72" i="10" s="1"/>
  <c r="K74" i="10"/>
  <c r="K79" i="10"/>
  <c r="R66" i="10"/>
  <c r="F71" i="10"/>
  <c r="T71" i="10" s="1"/>
  <c r="F76" i="10"/>
  <c r="K73" i="10"/>
  <c r="P73" i="10" s="1"/>
  <c r="F74" i="10"/>
  <c r="T74" i="10" s="1"/>
  <c r="F79" i="10"/>
  <c r="T79" i="10" s="1"/>
  <c r="K72" i="10"/>
  <c r="P72" i="10" s="1"/>
  <c r="F73" i="10"/>
  <c r="T73" i="10" s="1"/>
  <c r="F78" i="10"/>
  <c r="K71" i="10"/>
  <c r="P71" i="10" s="1"/>
  <c r="U48" i="10"/>
  <c r="O50" i="10"/>
  <c r="S50" i="10" s="1"/>
  <c r="V50" i="10" s="1"/>
  <c r="F53" i="10"/>
  <c r="T53" i="10" s="1"/>
  <c r="F58" i="10"/>
  <c r="T58" i="10" s="1"/>
  <c r="U46" i="10"/>
  <c r="O48" i="10"/>
  <c r="S48" i="10" s="1"/>
  <c r="U49" i="10"/>
  <c r="R50" i="10"/>
  <c r="K54" i="10"/>
  <c r="P54" i="10" s="1"/>
  <c r="K59" i="10"/>
  <c r="O46" i="10"/>
  <c r="S46" i="10" s="1"/>
  <c r="V46" i="10" s="1"/>
  <c r="F55" i="10"/>
  <c r="T55" i="10" s="1"/>
  <c r="F60" i="10"/>
  <c r="T60" i="10" s="1"/>
  <c r="R48" i="10"/>
  <c r="O49" i="10"/>
  <c r="K53" i="10"/>
  <c r="K58" i="10"/>
  <c r="F54" i="10"/>
  <c r="T54" i="10" s="1"/>
  <c r="S30" i="10"/>
  <c r="V30" i="10" s="1"/>
  <c r="R28" i="10"/>
  <c r="F34" i="10"/>
  <c r="T34" i="10" s="1"/>
  <c r="F39" i="10"/>
  <c r="T39" i="10" s="1"/>
  <c r="K36" i="10"/>
  <c r="K41" i="10"/>
  <c r="U27" i="10"/>
  <c r="O29" i="10"/>
  <c r="F33" i="10"/>
  <c r="T33" i="10" s="1"/>
  <c r="F38" i="10"/>
  <c r="T38" i="10" s="1"/>
  <c r="R31" i="10"/>
  <c r="K35" i="10"/>
  <c r="K40" i="10"/>
  <c r="O27" i="10"/>
  <c r="S27" i="10" s="1"/>
  <c r="V27" i="10" s="1"/>
  <c r="F36" i="10"/>
  <c r="T36" i="10" s="1"/>
  <c r="F41" i="10"/>
  <c r="T41" i="10" s="1"/>
  <c r="R29" i="10"/>
  <c r="K34" i="10"/>
  <c r="K39" i="10"/>
  <c r="F35" i="10"/>
  <c r="T35" i="10" s="1"/>
  <c r="F40" i="10"/>
  <c r="T40" i="10" s="1"/>
  <c r="K33" i="10"/>
  <c r="P33" i="10" s="1"/>
  <c r="S9" i="10"/>
  <c r="U10" i="10"/>
  <c r="F15" i="10"/>
  <c r="T15" i="10" s="1"/>
  <c r="F20" i="10"/>
  <c r="T20" i="10" s="1"/>
  <c r="K17" i="10"/>
  <c r="K22" i="10"/>
  <c r="U8" i="10"/>
  <c r="O10" i="10"/>
  <c r="F19" i="10"/>
  <c r="T19" i="10" s="1"/>
  <c r="U11" i="10"/>
  <c r="K16" i="10"/>
  <c r="P16" i="10" s="1"/>
  <c r="K21" i="10"/>
  <c r="O8" i="10"/>
  <c r="S8" i="10" s="1"/>
  <c r="V8" i="10" s="1"/>
  <c r="F22" i="10"/>
  <c r="T22" i="10" s="1"/>
  <c r="R10" i="10"/>
  <c r="O11" i="10"/>
  <c r="K15" i="10"/>
  <c r="P15" i="10" s="1"/>
  <c r="K20" i="10"/>
  <c r="F16" i="10"/>
  <c r="T16" i="10" s="1"/>
  <c r="F21" i="10"/>
  <c r="T21" i="10" s="1"/>
  <c r="K14" i="10"/>
  <c r="P14" i="10" s="1"/>
  <c r="P76" i="11"/>
  <c r="O66" i="11"/>
  <c r="S66" i="11" s="1"/>
  <c r="R65" i="11"/>
  <c r="K78" i="11"/>
  <c r="K77" i="11"/>
  <c r="F78" i="11"/>
  <c r="T78" i="11" s="1"/>
  <c r="K72" i="11"/>
  <c r="P72" i="11" s="1"/>
  <c r="F73" i="11"/>
  <c r="T73" i="11" s="1"/>
  <c r="K74" i="11"/>
  <c r="K79" i="11"/>
  <c r="K73" i="11"/>
  <c r="F92" i="11"/>
  <c r="T92" i="11" s="1"/>
  <c r="F97" i="11"/>
  <c r="T97" i="11" s="1"/>
  <c r="N86" i="11"/>
  <c r="R86" i="11" s="1"/>
  <c r="N85" i="11"/>
  <c r="O85" i="11" s="1"/>
  <c r="Q84" i="11"/>
  <c r="Q86" i="11"/>
  <c r="U87" i="11"/>
  <c r="F93" i="11"/>
  <c r="T93" i="11" s="1"/>
  <c r="F98" i="11"/>
  <c r="T98" i="11" s="1"/>
  <c r="Q85" i="11"/>
  <c r="R84" i="11"/>
  <c r="R46" i="11"/>
  <c r="U48" i="11"/>
  <c r="U47" i="11"/>
  <c r="F58" i="11"/>
  <c r="T58" i="11" s="1"/>
  <c r="O47" i="11"/>
  <c r="Q30" i="11"/>
  <c r="P28" i="11"/>
  <c r="Q24" i="11" s="1"/>
  <c r="Q10" i="11"/>
  <c r="O11" i="11"/>
  <c r="S11" i="11" s="1"/>
  <c r="S9" i="11"/>
  <c r="R10" i="11"/>
  <c r="P9" i="11"/>
  <c r="Q5" i="11" s="1"/>
  <c r="K19" i="11"/>
  <c r="P19" i="11" s="1"/>
  <c r="K14" i="11"/>
  <c r="P14" i="11" s="1"/>
  <c r="F91" i="11"/>
  <c r="T91" i="11" s="1"/>
  <c r="F96" i="11"/>
  <c r="T96" i="11" s="1"/>
  <c r="U84" i="11"/>
  <c r="R85" i="11"/>
  <c r="F90" i="11"/>
  <c r="T90" i="11" s="1"/>
  <c r="F95" i="11"/>
  <c r="T95" i="11" s="1"/>
  <c r="K92" i="11"/>
  <c r="K97" i="11"/>
  <c r="O84" i="11"/>
  <c r="S84" i="11" s="1"/>
  <c r="V84" i="11" s="1"/>
  <c r="O87" i="11"/>
  <c r="S87" i="11" s="1"/>
  <c r="V87" i="11" s="1"/>
  <c r="K91" i="11"/>
  <c r="K96" i="11"/>
  <c r="K90" i="11"/>
  <c r="P90" i="11" s="1"/>
  <c r="V68" i="11"/>
  <c r="U67" i="11"/>
  <c r="O69" i="11"/>
  <c r="S69" i="11" s="1"/>
  <c r="V69" i="11" s="1"/>
  <c r="F72" i="11"/>
  <c r="T72" i="11" s="1"/>
  <c r="F77" i="11"/>
  <c r="T77" i="11" s="1"/>
  <c r="U65" i="11"/>
  <c r="R66" i="11"/>
  <c r="L71" i="11" s="1"/>
  <c r="O67" i="11"/>
  <c r="S67" i="11" s="1"/>
  <c r="V67" i="11" s="1"/>
  <c r="Q69" i="11"/>
  <c r="R68" i="11" s="1"/>
  <c r="F71" i="11"/>
  <c r="T71" i="11" s="1"/>
  <c r="F76" i="11"/>
  <c r="T76" i="11" s="1"/>
  <c r="U68" i="11"/>
  <c r="O65" i="11"/>
  <c r="S65" i="11" s="1"/>
  <c r="V65" i="11" s="1"/>
  <c r="Q67" i="11"/>
  <c r="F74" i="11"/>
  <c r="T74" i="11" s="1"/>
  <c r="F79" i="11"/>
  <c r="T79" i="11" s="1"/>
  <c r="R67" i="11"/>
  <c r="K71" i="11"/>
  <c r="K60" i="11"/>
  <c r="U46" i="11"/>
  <c r="O48" i="11"/>
  <c r="F52" i="11"/>
  <c r="T52" i="11" s="1"/>
  <c r="F57" i="11"/>
  <c r="T57" i="11" s="1"/>
  <c r="K54" i="11"/>
  <c r="K59" i="11"/>
  <c r="O46" i="11"/>
  <c r="S46" i="11" s="1"/>
  <c r="F55" i="11"/>
  <c r="T55" i="11" s="1"/>
  <c r="F60" i="11"/>
  <c r="T60" i="11" s="1"/>
  <c r="F53" i="11"/>
  <c r="T53" i="11" s="1"/>
  <c r="R48" i="11"/>
  <c r="O49" i="11"/>
  <c r="S49" i="11" s="1"/>
  <c r="V49" i="11" s="1"/>
  <c r="K53" i="11"/>
  <c r="K58" i="11"/>
  <c r="K55" i="11"/>
  <c r="F54" i="11"/>
  <c r="T54" i="11" s="1"/>
  <c r="F59" i="11"/>
  <c r="T59" i="11" s="1"/>
  <c r="K52" i="11"/>
  <c r="P52" i="11" s="1"/>
  <c r="K36" i="11"/>
  <c r="K41" i="11"/>
  <c r="U27" i="11"/>
  <c r="R28" i="11"/>
  <c r="O29" i="11"/>
  <c r="F33" i="11"/>
  <c r="T33" i="11" s="1"/>
  <c r="F38" i="11"/>
  <c r="T38" i="11" s="1"/>
  <c r="S28" i="11"/>
  <c r="V28" i="11" s="1"/>
  <c r="R31" i="11"/>
  <c r="K35" i="11"/>
  <c r="K40" i="11"/>
  <c r="O27" i="11"/>
  <c r="S27" i="11" s="1"/>
  <c r="V27" i="11" s="1"/>
  <c r="F36" i="11"/>
  <c r="T36" i="11" s="1"/>
  <c r="F41" i="11"/>
  <c r="T41" i="11" s="1"/>
  <c r="F34" i="11"/>
  <c r="T34" i="11" s="1"/>
  <c r="R29" i="11"/>
  <c r="K34" i="11"/>
  <c r="K39" i="11"/>
  <c r="F35" i="11"/>
  <c r="T35" i="11" s="1"/>
  <c r="F40" i="11"/>
  <c r="T40" i="11" s="1"/>
  <c r="F39" i="11"/>
  <c r="T39" i="11" s="1"/>
  <c r="K33" i="11"/>
  <c r="P33" i="11" s="1"/>
  <c r="S12" i="11"/>
  <c r="V12" i="11" s="1"/>
  <c r="V11" i="11"/>
  <c r="U10" i="11"/>
  <c r="V9" i="11" s="1"/>
  <c r="O12" i="11"/>
  <c r="F15" i="11"/>
  <c r="T15" i="11" s="1"/>
  <c r="F20" i="11"/>
  <c r="T20" i="11" s="1"/>
  <c r="K17" i="11"/>
  <c r="K22" i="11"/>
  <c r="U8" i="11"/>
  <c r="R9" i="11"/>
  <c r="O10" i="11"/>
  <c r="Q12" i="11"/>
  <c r="R11" i="11" s="1"/>
  <c r="F14" i="11"/>
  <c r="T14" i="11" s="1"/>
  <c r="F19" i="11"/>
  <c r="T19" i="11" s="1"/>
  <c r="R12" i="11"/>
  <c r="K16" i="11"/>
  <c r="K21" i="11"/>
  <c r="O8" i="11"/>
  <c r="S8" i="11" s="1"/>
  <c r="V8" i="11" s="1"/>
  <c r="F17" i="11"/>
  <c r="T17" i="11" s="1"/>
  <c r="F22" i="11"/>
  <c r="T22" i="11" s="1"/>
  <c r="K15" i="11"/>
  <c r="K20" i="11"/>
  <c r="F16" i="11"/>
  <c r="T16" i="11" s="1"/>
  <c r="K153" i="9"/>
  <c r="F154" i="9"/>
  <c r="T154" i="9" s="1"/>
  <c r="K150" i="9"/>
  <c r="F149" i="9"/>
  <c r="T149" i="9" s="1"/>
  <c r="F147" i="9"/>
  <c r="T147" i="9" s="1"/>
  <c r="K154" i="9"/>
  <c r="K152" i="9"/>
  <c r="F152" i="9"/>
  <c r="T152" i="9" s="1"/>
  <c r="K149" i="9"/>
  <c r="K147" i="9"/>
  <c r="P147" i="9" s="1"/>
  <c r="K155" i="9"/>
  <c r="T142" i="9"/>
  <c r="P142" i="9"/>
  <c r="Q143" i="9"/>
  <c r="R142" i="9" s="1"/>
  <c r="L139" i="9"/>
  <c r="Q141" i="9"/>
  <c r="O124" i="9"/>
  <c r="S122" i="9"/>
  <c r="V122" i="9" s="1"/>
  <c r="O122" i="9"/>
  <c r="U124" i="9"/>
  <c r="R122" i="9"/>
  <c r="N123" i="9"/>
  <c r="F109" i="9"/>
  <c r="T109" i="9" s="1"/>
  <c r="K114" i="9"/>
  <c r="K110" i="9"/>
  <c r="F111" i="9"/>
  <c r="T111" i="9" s="1"/>
  <c r="K112" i="9"/>
  <c r="F114" i="9"/>
  <c r="T114" i="9" s="1"/>
  <c r="Q100" i="9"/>
  <c r="N106" i="9"/>
  <c r="O106" i="9"/>
  <c r="K109" i="9"/>
  <c r="P109" i="9" s="1"/>
  <c r="K115" i="9"/>
  <c r="F116" i="9"/>
  <c r="T116" i="9" s="1"/>
  <c r="K117" i="9"/>
  <c r="O85" i="9"/>
  <c r="O86" i="9"/>
  <c r="Q84" i="9"/>
  <c r="Q85" i="9"/>
  <c r="R84" i="9"/>
  <c r="U85" i="9"/>
  <c r="Q65" i="9"/>
  <c r="R65" i="9"/>
  <c r="U66" i="9"/>
  <c r="R66" i="9"/>
  <c r="O66" i="9"/>
  <c r="N67" i="9"/>
  <c r="R46" i="9"/>
  <c r="R49" i="9"/>
  <c r="K60" i="9"/>
  <c r="O47" i="9"/>
  <c r="K55" i="9"/>
  <c r="P55" i="9" s="1"/>
  <c r="F57" i="9"/>
  <c r="T57" i="9" s="1"/>
  <c r="K58" i="9"/>
  <c r="F52" i="9"/>
  <c r="T52" i="9" s="1"/>
  <c r="K53" i="9"/>
  <c r="R28" i="9"/>
  <c r="O28" i="9"/>
  <c r="N29" i="9"/>
  <c r="N28" i="9"/>
  <c r="F33" i="9"/>
  <c r="T33" i="9" s="1"/>
  <c r="Q27" i="9"/>
  <c r="Q28" i="9"/>
  <c r="R27" i="9" s="1"/>
  <c r="U28" i="9"/>
  <c r="K41" i="9"/>
  <c r="K17" i="9"/>
  <c r="P17" i="9" s="1"/>
  <c r="F14" i="9"/>
  <c r="T14" i="9" s="1"/>
  <c r="Q9" i="9"/>
  <c r="R8" i="9" s="1"/>
  <c r="U9" i="9"/>
  <c r="K16" i="9"/>
  <c r="F17" i="9"/>
  <c r="T17" i="9" s="1"/>
  <c r="O9" i="9"/>
  <c r="K15" i="9"/>
  <c r="S145" i="9"/>
  <c r="V145" i="9" s="1"/>
  <c r="U143" i="9"/>
  <c r="O145" i="9"/>
  <c r="F148" i="9"/>
  <c r="T148" i="9" s="1"/>
  <c r="F153" i="9"/>
  <c r="T153" i="9" s="1"/>
  <c r="U141" i="9"/>
  <c r="O143" i="9"/>
  <c r="S142" i="9"/>
  <c r="U144" i="9"/>
  <c r="O141" i="9"/>
  <c r="F150" i="9"/>
  <c r="T150" i="9" s="1"/>
  <c r="F155" i="9"/>
  <c r="T155" i="9" s="1"/>
  <c r="R143" i="9"/>
  <c r="O144" i="9"/>
  <c r="S144" i="9" s="1"/>
  <c r="V144" i="9" s="1"/>
  <c r="K148" i="9"/>
  <c r="R124" i="9"/>
  <c r="K131" i="9"/>
  <c r="P131" i="9" s="1"/>
  <c r="K136" i="9"/>
  <c r="U122" i="9"/>
  <c r="R123" i="9"/>
  <c r="F128" i="9"/>
  <c r="T128" i="9" s="1"/>
  <c r="F133" i="9"/>
  <c r="T133" i="9" s="1"/>
  <c r="F129" i="9"/>
  <c r="T129" i="9" s="1"/>
  <c r="U125" i="9"/>
  <c r="K130" i="9"/>
  <c r="K135" i="9"/>
  <c r="F134" i="9"/>
  <c r="T134" i="9" s="1"/>
  <c r="F131" i="9"/>
  <c r="T131" i="9" s="1"/>
  <c r="F136" i="9"/>
  <c r="T136" i="9" s="1"/>
  <c r="O125" i="9"/>
  <c r="S125" i="9" s="1"/>
  <c r="V125" i="9" s="1"/>
  <c r="K129" i="9"/>
  <c r="K134" i="9"/>
  <c r="F130" i="9"/>
  <c r="T130" i="9" s="1"/>
  <c r="F135" i="9"/>
  <c r="T135" i="9" s="1"/>
  <c r="K128" i="9"/>
  <c r="P128" i="9" s="1"/>
  <c r="S103" i="9"/>
  <c r="V103" i="9" s="1"/>
  <c r="U105" i="9"/>
  <c r="O107" i="9"/>
  <c r="S107" i="9" s="1"/>
  <c r="V107" i="9" s="1"/>
  <c r="F110" i="9"/>
  <c r="T110" i="9" s="1"/>
  <c r="F115" i="9"/>
  <c r="T115" i="9" s="1"/>
  <c r="U103" i="9"/>
  <c r="R104" i="9"/>
  <c r="O105" i="9"/>
  <c r="Q107" i="9"/>
  <c r="R106" i="9" s="1"/>
  <c r="S104" i="9"/>
  <c r="U106" i="9"/>
  <c r="R107" i="9"/>
  <c r="K111" i="9"/>
  <c r="K116" i="9"/>
  <c r="O103" i="9"/>
  <c r="F112" i="9"/>
  <c r="T112" i="9" s="1"/>
  <c r="R105" i="9"/>
  <c r="S85" i="9"/>
  <c r="V85" i="9" s="1"/>
  <c r="K93" i="9"/>
  <c r="K98" i="9"/>
  <c r="U84" i="9"/>
  <c r="F90" i="9"/>
  <c r="T90" i="9" s="1"/>
  <c r="F95" i="9"/>
  <c r="T95" i="9" s="1"/>
  <c r="U87" i="9"/>
  <c r="K92" i="9"/>
  <c r="K97" i="9"/>
  <c r="O84" i="9"/>
  <c r="S84" i="9" s="1"/>
  <c r="Q86" i="9"/>
  <c r="R85" i="9" s="1"/>
  <c r="F93" i="9"/>
  <c r="T93" i="9" s="1"/>
  <c r="F98" i="9"/>
  <c r="T98" i="9" s="1"/>
  <c r="F96" i="9"/>
  <c r="T96" i="9" s="1"/>
  <c r="R86" i="9"/>
  <c r="O87" i="9"/>
  <c r="S87" i="9" s="1"/>
  <c r="V87" i="9" s="1"/>
  <c r="K91" i="9"/>
  <c r="P91" i="9" s="1"/>
  <c r="K96" i="9"/>
  <c r="F92" i="9"/>
  <c r="T92" i="9" s="1"/>
  <c r="F97" i="9"/>
  <c r="T97" i="9" s="1"/>
  <c r="F91" i="9"/>
  <c r="T91" i="9" s="1"/>
  <c r="K90" i="9"/>
  <c r="P90" i="9" s="1"/>
  <c r="K74" i="9"/>
  <c r="K79" i="9"/>
  <c r="U65" i="9"/>
  <c r="F71" i="9"/>
  <c r="T71" i="9" s="1"/>
  <c r="F76" i="9"/>
  <c r="T76" i="9" s="1"/>
  <c r="U68" i="9"/>
  <c r="K73" i="9"/>
  <c r="K78" i="9"/>
  <c r="F72" i="9"/>
  <c r="T72" i="9" s="1"/>
  <c r="O65" i="9"/>
  <c r="S65" i="9" s="1"/>
  <c r="V65" i="9" s="1"/>
  <c r="F74" i="9"/>
  <c r="T74" i="9" s="1"/>
  <c r="F79" i="9"/>
  <c r="T79" i="9" s="1"/>
  <c r="R67" i="9"/>
  <c r="O68" i="9"/>
  <c r="S68" i="9" s="1"/>
  <c r="V68" i="9" s="1"/>
  <c r="K72" i="9"/>
  <c r="P72" i="9" s="1"/>
  <c r="K77" i="9"/>
  <c r="F77" i="9"/>
  <c r="T77" i="9" s="1"/>
  <c r="F73" i="9"/>
  <c r="T73" i="9" s="1"/>
  <c r="F78" i="9"/>
  <c r="T78" i="9" s="1"/>
  <c r="K71" i="9"/>
  <c r="P71" i="9" s="1"/>
  <c r="S48" i="9"/>
  <c r="S47" i="9"/>
  <c r="U48" i="9"/>
  <c r="O50" i="9"/>
  <c r="S50" i="9" s="1"/>
  <c r="V50" i="9" s="1"/>
  <c r="F53" i="9"/>
  <c r="T53" i="9" s="1"/>
  <c r="F58" i="9"/>
  <c r="T58" i="9" s="1"/>
  <c r="U46" i="9"/>
  <c r="O48" i="9"/>
  <c r="U49" i="9"/>
  <c r="K54" i="9"/>
  <c r="K59" i="9"/>
  <c r="O46" i="9"/>
  <c r="S46" i="9" s="1"/>
  <c r="V46" i="9" s="1"/>
  <c r="Q48" i="9"/>
  <c r="R47" i="9" s="1"/>
  <c r="F55" i="9"/>
  <c r="T55" i="9" s="1"/>
  <c r="F60" i="9"/>
  <c r="T60" i="9" s="1"/>
  <c r="R48" i="9"/>
  <c r="O49" i="9"/>
  <c r="S49" i="9" s="1"/>
  <c r="V49" i="9" s="1"/>
  <c r="F54" i="9"/>
  <c r="T54" i="9" s="1"/>
  <c r="F59" i="9"/>
  <c r="T59" i="9" s="1"/>
  <c r="K52" i="9"/>
  <c r="P52" i="9" s="1"/>
  <c r="U29" i="9"/>
  <c r="O31" i="9"/>
  <c r="S31" i="9" s="1"/>
  <c r="V31" i="9" s="1"/>
  <c r="F34" i="9"/>
  <c r="T34" i="9" s="1"/>
  <c r="F39" i="9"/>
  <c r="T39" i="9" s="1"/>
  <c r="U27" i="9"/>
  <c r="O29" i="9"/>
  <c r="U30" i="9"/>
  <c r="K35" i="9"/>
  <c r="K40" i="9"/>
  <c r="O27" i="9"/>
  <c r="S27" i="9" s="1"/>
  <c r="V27" i="9" s="1"/>
  <c r="F36" i="9"/>
  <c r="T36" i="9" s="1"/>
  <c r="F41" i="9"/>
  <c r="T41" i="9" s="1"/>
  <c r="R29" i="9"/>
  <c r="O30" i="9"/>
  <c r="S30" i="9" s="1"/>
  <c r="V30" i="9" s="1"/>
  <c r="K34" i="9"/>
  <c r="K39" i="9"/>
  <c r="F35" i="9"/>
  <c r="T35" i="9" s="1"/>
  <c r="F40" i="9"/>
  <c r="T40" i="9" s="1"/>
  <c r="K33" i="9"/>
  <c r="P33" i="9" s="1"/>
  <c r="S8" i="9"/>
  <c r="V8" i="9" s="1"/>
  <c r="U10" i="9"/>
  <c r="O12" i="9"/>
  <c r="S12" i="9" s="1"/>
  <c r="V12" i="9" s="1"/>
  <c r="F15" i="9"/>
  <c r="T15" i="9" s="1"/>
  <c r="F20" i="9"/>
  <c r="T20" i="9" s="1"/>
  <c r="K22" i="9"/>
  <c r="F19" i="9"/>
  <c r="T19" i="9" s="1"/>
  <c r="K21" i="9"/>
  <c r="F22" i="9"/>
  <c r="T22" i="9" s="1"/>
  <c r="K20" i="9"/>
  <c r="U8" i="9"/>
  <c r="Q10" i="9"/>
  <c r="R9" i="9" s="1"/>
  <c r="Q8" i="9"/>
  <c r="F16" i="9"/>
  <c r="T16" i="9" s="1"/>
  <c r="F21" i="9"/>
  <c r="T21" i="9" s="1"/>
  <c r="O10" i="9"/>
  <c r="U11" i="9"/>
  <c r="O11" i="9"/>
  <c r="S11" i="9" s="1"/>
  <c r="V11" i="9" s="1"/>
  <c r="K14" i="9"/>
  <c r="P14" i="9" s="1"/>
  <c r="Q47" i="8"/>
  <c r="R46" i="8" s="1"/>
  <c r="F55" i="8"/>
  <c r="T55" i="8" s="1"/>
  <c r="K52" i="8"/>
  <c r="F52" i="8"/>
  <c r="F54" i="8"/>
  <c r="T54" i="8" s="1"/>
  <c r="F59" i="8"/>
  <c r="T59" i="8" s="1"/>
  <c r="K60" i="8"/>
  <c r="K55" i="8"/>
  <c r="F57" i="8"/>
  <c r="T19" i="8"/>
  <c r="Q46" i="8"/>
  <c r="D58" i="8" s="1"/>
  <c r="E58" i="8" s="1"/>
  <c r="O47" i="8"/>
  <c r="T47" i="8" s="1"/>
  <c r="K57" i="8"/>
  <c r="F60" i="8"/>
  <c r="T60" i="8" s="1"/>
  <c r="T211" i="8"/>
  <c r="S201" i="8"/>
  <c r="T201" i="8"/>
  <c r="P201" i="8"/>
  <c r="N199" i="8"/>
  <c r="O199" i="8" s="1"/>
  <c r="Q201" i="8"/>
  <c r="R200" i="8" s="1"/>
  <c r="K205" i="8"/>
  <c r="Q198" i="8"/>
  <c r="Q200" i="8"/>
  <c r="H204" i="8" s="1"/>
  <c r="K207" i="8"/>
  <c r="K210" i="8"/>
  <c r="P210" i="8" s="1"/>
  <c r="U199" i="8"/>
  <c r="K204" i="8"/>
  <c r="K206" i="8"/>
  <c r="F207" i="8"/>
  <c r="T207" i="8" s="1"/>
  <c r="O200" i="8"/>
  <c r="K209" i="8"/>
  <c r="P209" i="8" s="1"/>
  <c r="K211" i="8"/>
  <c r="F212" i="8"/>
  <c r="T212" i="8" s="1"/>
  <c r="U142" i="8"/>
  <c r="G152" i="8" s="1"/>
  <c r="T155" i="8"/>
  <c r="N142" i="8"/>
  <c r="O142" i="8" s="1"/>
  <c r="N143" i="8"/>
  <c r="Q141" i="8"/>
  <c r="Q144" i="8"/>
  <c r="N123" i="8"/>
  <c r="O123" i="8" s="1"/>
  <c r="N124" i="8"/>
  <c r="O124" i="8" s="1"/>
  <c r="N122" i="8"/>
  <c r="U124" i="8"/>
  <c r="Q85" i="8"/>
  <c r="G90" i="8" s="1"/>
  <c r="U85" i="8"/>
  <c r="Q84" i="8"/>
  <c r="U104" i="8"/>
  <c r="G114" i="8" s="1"/>
  <c r="N105" i="8"/>
  <c r="O105" i="8" s="1"/>
  <c r="U105" i="8"/>
  <c r="O104" i="8"/>
  <c r="Q103" i="8"/>
  <c r="Q104" i="8"/>
  <c r="Q86" i="8"/>
  <c r="K90" i="8"/>
  <c r="K95" i="8"/>
  <c r="R86" i="8"/>
  <c r="O84" i="8"/>
  <c r="S84" i="8" s="1"/>
  <c r="N85" i="8"/>
  <c r="O85" i="8" s="1"/>
  <c r="F92" i="8"/>
  <c r="T92" i="8" s="1"/>
  <c r="F97" i="8"/>
  <c r="T97" i="8" s="1"/>
  <c r="O87" i="8"/>
  <c r="S87" i="8" s="1"/>
  <c r="V87" i="8" s="1"/>
  <c r="K74" i="8"/>
  <c r="O68" i="8"/>
  <c r="S68" i="8" s="1"/>
  <c r="V68" i="8" s="1"/>
  <c r="N76" i="8" s="1"/>
  <c r="K79" i="8"/>
  <c r="K73" i="8"/>
  <c r="F74" i="8"/>
  <c r="T74" i="8" s="1"/>
  <c r="K71" i="8"/>
  <c r="K78" i="8"/>
  <c r="F79" i="8"/>
  <c r="T79" i="8" s="1"/>
  <c r="K76" i="8"/>
  <c r="U10" i="8"/>
  <c r="K16" i="8"/>
  <c r="F17" i="8"/>
  <c r="T17" i="8" s="1"/>
  <c r="K21" i="8"/>
  <c r="F22" i="8"/>
  <c r="T22" i="8" s="1"/>
  <c r="N9" i="8"/>
  <c r="O9" i="8" s="1"/>
  <c r="U11" i="8"/>
  <c r="Q8" i="8"/>
  <c r="D14" i="8" s="1"/>
  <c r="E14" i="8" s="1"/>
  <c r="Q10" i="8"/>
  <c r="Q9" i="8"/>
  <c r="U9" i="8"/>
  <c r="N28" i="8"/>
  <c r="O28" i="8" s="1"/>
  <c r="Q28" i="8"/>
  <c r="G36" i="8" s="1"/>
  <c r="U200" i="8"/>
  <c r="O202" i="8"/>
  <c r="F205" i="8"/>
  <c r="F210" i="8"/>
  <c r="T210" i="8" s="1"/>
  <c r="U198" i="8"/>
  <c r="Q202" i="8"/>
  <c r="F204" i="8"/>
  <c r="F209" i="8"/>
  <c r="T209" i="8" s="1"/>
  <c r="U201" i="8"/>
  <c r="O198" i="8"/>
  <c r="S198" i="8" s="1"/>
  <c r="U202" i="8"/>
  <c r="F206" i="8"/>
  <c r="T206" i="8" s="1"/>
  <c r="U143" i="8"/>
  <c r="H152" i="8" s="1"/>
  <c r="O145" i="8"/>
  <c r="S145" i="8" s="1"/>
  <c r="V145" i="8" s="1"/>
  <c r="F148" i="8"/>
  <c r="T148" i="8" s="1"/>
  <c r="F153" i="8"/>
  <c r="T153" i="8" s="1"/>
  <c r="U141" i="8"/>
  <c r="Q145" i="8"/>
  <c r="J147" i="8" s="1"/>
  <c r="R145" i="8"/>
  <c r="K149" i="8"/>
  <c r="K154" i="8"/>
  <c r="O141" i="8"/>
  <c r="S141" i="8" s="1"/>
  <c r="F150" i="8"/>
  <c r="T150" i="8" s="1"/>
  <c r="U145" i="8"/>
  <c r="J152" i="8" s="1"/>
  <c r="V125" i="8"/>
  <c r="U122" i="8"/>
  <c r="F134" i="8" s="1"/>
  <c r="Q126" i="8"/>
  <c r="R126" i="8"/>
  <c r="O122" i="8"/>
  <c r="F135" i="8"/>
  <c r="T135" i="8" s="1"/>
  <c r="K112" i="8"/>
  <c r="K117" i="8"/>
  <c r="U103" i="8"/>
  <c r="F109" i="8"/>
  <c r="F114" i="8"/>
  <c r="U106" i="8"/>
  <c r="K111" i="8"/>
  <c r="K116" i="8"/>
  <c r="O103" i="8"/>
  <c r="S103" i="8" s="1"/>
  <c r="Q105" i="8"/>
  <c r="F112" i="8"/>
  <c r="T112" i="8" s="1"/>
  <c r="F117" i="8"/>
  <c r="T117" i="8" s="1"/>
  <c r="F115" i="8"/>
  <c r="O106" i="8"/>
  <c r="S106" i="8" s="1"/>
  <c r="V106" i="8" s="1"/>
  <c r="K110" i="8"/>
  <c r="K115" i="8"/>
  <c r="F111" i="8"/>
  <c r="T111" i="8" s="1"/>
  <c r="F116" i="8"/>
  <c r="T116" i="8" s="1"/>
  <c r="F110" i="8"/>
  <c r="K109" i="8"/>
  <c r="U86" i="8"/>
  <c r="O88" i="8"/>
  <c r="S88" i="8" s="1"/>
  <c r="V88" i="8" s="1"/>
  <c r="O98" i="8" s="1"/>
  <c r="F91" i="8"/>
  <c r="F96" i="8"/>
  <c r="U84" i="8"/>
  <c r="O86" i="8"/>
  <c r="F90" i="8"/>
  <c r="F95" i="8"/>
  <c r="U87" i="8"/>
  <c r="I96" i="8" s="1"/>
  <c r="R88" i="8"/>
  <c r="K92" i="8"/>
  <c r="K97" i="8"/>
  <c r="K91" i="8"/>
  <c r="U67" i="8"/>
  <c r="O69" i="8"/>
  <c r="S69" i="8" s="1"/>
  <c r="V69" i="8" s="1"/>
  <c r="O76" i="8" s="1"/>
  <c r="F72" i="8"/>
  <c r="T72" i="8" s="1"/>
  <c r="F77" i="8"/>
  <c r="T77" i="8" s="1"/>
  <c r="U65" i="8"/>
  <c r="O67" i="8"/>
  <c r="S67" i="8" s="1"/>
  <c r="V67" i="8" s="1"/>
  <c r="F71" i="8"/>
  <c r="F76" i="8"/>
  <c r="T76" i="8" s="1"/>
  <c r="R69" i="8"/>
  <c r="O65" i="8"/>
  <c r="S65" i="8" s="1"/>
  <c r="V65" i="8" s="1"/>
  <c r="R67" i="8"/>
  <c r="K72" i="8"/>
  <c r="K77" i="8"/>
  <c r="F73" i="8"/>
  <c r="T73" i="8" s="1"/>
  <c r="F53" i="8"/>
  <c r="T53" i="8" s="1"/>
  <c r="F58" i="8"/>
  <c r="U46" i="8"/>
  <c r="R47" i="8"/>
  <c r="O48" i="8"/>
  <c r="U49" i="8"/>
  <c r="K54" i="8"/>
  <c r="K59" i="8"/>
  <c r="O46" i="8"/>
  <c r="S46" i="8" s="1"/>
  <c r="O49" i="8"/>
  <c r="S49" i="8" s="1"/>
  <c r="K53" i="8"/>
  <c r="K36" i="8"/>
  <c r="K41" i="8"/>
  <c r="U27" i="8"/>
  <c r="O29" i="8"/>
  <c r="F33" i="8"/>
  <c r="F38" i="8"/>
  <c r="U30" i="8"/>
  <c r="I41" i="8" s="1"/>
  <c r="K35" i="8"/>
  <c r="K40" i="8"/>
  <c r="F34" i="8"/>
  <c r="T34" i="8" s="1"/>
  <c r="O27" i="8"/>
  <c r="S27" i="8" s="1"/>
  <c r="Q29" i="8"/>
  <c r="H33" i="8" s="1"/>
  <c r="F36" i="8"/>
  <c r="F41" i="8"/>
  <c r="O30" i="8"/>
  <c r="S30" i="8" s="1"/>
  <c r="K34" i="8"/>
  <c r="K39" i="8"/>
  <c r="F39" i="8"/>
  <c r="T39" i="8" s="1"/>
  <c r="F35" i="8"/>
  <c r="T35" i="8" s="1"/>
  <c r="F40" i="8"/>
  <c r="T40" i="8" s="1"/>
  <c r="K33" i="8"/>
  <c r="F15" i="8"/>
  <c r="T15" i="8" s="1"/>
  <c r="F20" i="8"/>
  <c r="T20" i="8" s="1"/>
  <c r="U8" i="8"/>
  <c r="O10" i="8"/>
  <c r="O8" i="8"/>
  <c r="S8" i="8" s="1"/>
  <c r="O11" i="8"/>
  <c r="S11" i="8" s="1"/>
  <c r="V11" i="8" s="1"/>
  <c r="K15" i="8"/>
  <c r="K20" i="8"/>
  <c r="F16" i="8"/>
  <c r="T16" i="8" s="1"/>
  <c r="F21" i="8"/>
  <c r="T21" i="8" s="1"/>
  <c r="K14" i="8"/>
  <c r="G90" i="7"/>
  <c r="K115" i="7"/>
  <c r="L44" i="7"/>
  <c r="Q85" i="7"/>
  <c r="J73" i="7"/>
  <c r="F33" i="7"/>
  <c r="K39" i="7"/>
  <c r="K41" i="7"/>
  <c r="F147" i="7"/>
  <c r="T147" i="7" s="1"/>
  <c r="K150" i="7"/>
  <c r="F154" i="7"/>
  <c r="H15" i="7"/>
  <c r="I58" i="7"/>
  <c r="J90" i="7"/>
  <c r="T93" i="7"/>
  <c r="Q88" i="7"/>
  <c r="O90" i="7" s="1"/>
  <c r="K17" i="7"/>
  <c r="F20" i="7"/>
  <c r="F35" i="7"/>
  <c r="T35" i="7" s="1"/>
  <c r="F38" i="7"/>
  <c r="F40" i="7"/>
  <c r="T40" i="7" s="1"/>
  <c r="J58" i="7"/>
  <c r="K187" i="7"/>
  <c r="Q126" i="7"/>
  <c r="L158" i="7"/>
  <c r="Q31" i="7"/>
  <c r="F17" i="7"/>
  <c r="T17" i="7" s="1"/>
  <c r="K19" i="7"/>
  <c r="K22" i="7"/>
  <c r="J71" i="7"/>
  <c r="J72" i="7"/>
  <c r="F90" i="7"/>
  <c r="F98" i="7"/>
  <c r="T98" i="7" s="1"/>
  <c r="F15" i="7"/>
  <c r="Q104" i="7"/>
  <c r="R103" i="7" s="1"/>
  <c r="Q143" i="7"/>
  <c r="H148" i="7" s="1"/>
  <c r="K14" i="7"/>
  <c r="K16" i="7"/>
  <c r="J20" i="7"/>
  <c r="F36" i="7"/>
  <c r="T36" i="7" s="1"/>
  <c r="J38" i="7"/>
  <c r="F41" i="7"/>
  <c r="T41" i="7" s="1"/>
  <c r="K97" i="7"/>
  <c r="F191" i="7"/>
  <c r="L139" i="7"/>
  <c r="Q145" i="7"/>
  <c r="K20" i="7"/>
  <c r="F34" i="7"/>
  <c r="K35" i="7"/>
  <c r="K38" i="7"/>
  <c r="F39" i="7"/>
  <c r="K40" i="7"/>
  <c r="J19" i="7"/>
  <c r="F21" i="7"/>
  <c r="T21" i="7" s="1"/>
  <c r="U69" i="7"/>
  <c r="V68" i="7" s="1"/>
  <c r="U85" i="7"/>
  <c r="Q144" i="7"/>
  <c r="R143" i="7" s="1"/>
  <c r="F19" i="7"/>
  <c r="F22" i="7"/>
  <c r="T22" i="7" s="1"/>
  <c r="F14" i="7"/>
  <c r="K15" i="7"/>
  <c r="F16" i="7"/>
  <c r="T16" i="7" s="1"/>
  <c r="F92" i="7"/>
  <c r="T92" i="7" s="1"/>
  <c r="K117" i="7"/>
  <c r="F188" i="7"/>
  <c r="T188" i="7" s="1"/>
  <c r="Q87" i="6"/>
  <c r="F97" i="6"/>
  <c r="T97" i="6" s="1"/>
  <c r="K96" i="6"/>
  <c r="F116" i="6"/>
  <c r="T116" i="6" s="1"/>
  <c r="Q86" i="6"/>
  <c r="H90" i="6" s="1"/>
  <c r="U87" i="6"/>
  <c r="J112" i="6"/>
  <c r="F114" i="6"/>
  <c r="T114" i="6" s="1"/>
  <c r="I93" i="6"/>
  <c r="O112" i="6"/>
  <c r="F109" i="6"/>
  <c r="T109" i="6" s="1"/>
  <c r="N112" i="6"/>
  <c r="R106" i="6"/>
  <c r="O107" i="6"/>
  <c r="S107" i="6" s="1"/>
  <c r="V107" i="6" s="1"/>
  <c r="K98" i="6"/>
  <c r="K110" i="6"/>
  <c r="F111" i="6"/>
  <c r="T111" i="6" s="1"/>
  <c r="K115" i="6"/>
  <c r="K117" i="6"/>
  <c r="I112" i="6"/>
  <c r="I90" i="6"/>
  <c r="F96" i="6"/>
  <c r="T96" i="6" s="1"/>
  <c r="N86" i="6"/>
  <c r="K92" i="6"/>
  <c r="K95" i="6"/>
  <c r="F98" i="6"/>
  <c r="T98" i="6" s="1"/>
  <c r="F110" i="6"/>
  <c r="T110" i="6" s="1"/>
  <c r="F115" i="6"/>
  <c r="T115" i="6" s="1"/>
  <c r="F117" i="6"/>
  <c r="T117" i="6" s="1"/>
  <c r="H91" i="6"/>
  <c r="K97" i="6"/>
  <c r="K109" i="6"/>
  <c r="K114" i="6"/>
  <c r="K116" i="6"/>
  <c r="Q105" i="6"/>
  <c r="H112" i="6" s="1"/>
  <c r="I91" i="6"/>
  <c r="F92" i="6"/>
  <c r="T92" i="6" s="1"/>
  <c r="T191" i="7"/>
  <c r="K190" i="7"/>
  <c r="F193" i="7"/>
  <c r="T193" i="7" s="1"/>
  <c r="N180" i="7"/>
  <c r="O180" i="7" s="1"/>
  <c r="K192" i="7"/>
  <c r="F187" i="7"/>
  <c r="T187" i="7" s="1"/>
  <c r="F190" i="7"/>
  <c r="T190" i="7" s="1"/>
  <c r="K188" i="7"/>
  <c r="K191" i="7"/>
  <c r="F192" i="7"/>
  <c r="T192" i="7" s="1"/>
  <c r="T154" i="7"/>
  <c r="N158" i="7"/>
  <c r="P161" i="7"/>
  <c r="T161" i="7"/>
  <c r="F149" i="7"/>
  <c r="T149" i="7" s="1"/>
  <c r="F152" i="7"/>
  <c r="T152" i="7" s="1"/>
  <c r="K153" i="7"/>
  <c r="K155" i="7"/>
  <c r="K147" i="7"/>
  <c r="F150" i="7"/>
  <c r="T150" i="7" s="1"/>
  <c r="N143" i="7"/>
  <c r="K149" i="7"/>
  <c r="K152" i="7"/>
  <c r="F153" i="7"/>
  <c r="T153" i="7" s="1"/>
  <c r="F155" i="7"/>
  <c r="T155" i="7" s="1"/>
  <c r="K154" i="7"/>
  <c r="K135" i="7"/>
  <c r="F136" i="7"/>
  <c r="T136" i="7" s="1"/>
  <c r="F134" i="7"/>
  <c r="T134" i="7" s="1"/>
  <c r="K133" i="7"/>
  <c r="K130" i="7"/>
  <c r="F131" i="7"/>
  <c r="T131" i="7" s="1"/>
  <c r="F129" i="7"/>
  <c r="T129" i="7" s="1"/>
  <c r="K136" i="7"/>
  <c r="K134" i="7"/>
  <c r="F135" i="7"/>
  <c r="T135" i="7" s="1"/>
  <c r="K131" i="7"/>
  <c r="F133" i="7"/>
  <c r="T133" i="7" s="1"/>
  <c r="F130" i="7"/>
  <c r="T130" i="7" s="1"/>
  <c r="K129" i="7"/>
  <c r="L120" i="7"/>
  <c r="N123" i="7"/>
  <c r="O123" i="7" s="1"/>
  <c r="F110" i="7"/>
  <c r="U104" i="7"/>
  <c r="K109" i="7"/>
  <c r="K111" i="7"/>
  <c r="F112" i="7"/>
  <c r="T112" i="7" s="1"/>
  <c r="Q105" i="7"/>
  <c r="K114" i="7"/>
  <c r="F115" i="7"/>
  <c r="T115" i="7" s="1"/>
  <c r="F117" i="7"/>
  <c r="T117" i="7" s="1"/>
  <c r="K116" i="7"/>
  <c r="T116" i="7"/>
  <c r="F109" i="7"/>
  <c r="T109" i="7" s="1"/>
  <c r="F111" i="7"/>
  <c r="T111" i="7" s="1"/>
  <c r="K110" i="7"/>
  <c r="F114" i="7"/>
  <c r="T114" i="7" s="1"/>
  <c r="N107" i="7"/>
  <c r="R107" i="7" s="1"/>
  <c r="K112" i="7"/>
  <c r="T90" i="7"/>
  <c r="K95" i="7"/>
  <c r="F96" i="7"/>
  <c r="T96" i="7" s="1"/>
  <c r="N87" i="7"/>
  <c r="K91" i="7"/>
  <c r="F95" i="7"/>
  <c r="T95" i="7" s="1"/>
  <c r="Q86" i="7"/>
  <c r="H90" i="7" s="1"/>
  <c r="K93" i="7"/>
  <c r="R84" i="7"/>
  <c r="K96" i="7"/>
  <c r="F97" i="7"/>
  <c r="T97" i="7" s="1"/>
  <c r="N86" i="7"/>
  <c r="F91" i="7"/>
  <c r="T91" i="7" s="1"/>
  <c r="K98" i="7"/>
  <c r="N85" i="7"/>
  <c r="O85" i="7" s="1"/>
  <c r="K90" i="7"/>
  <c r="K92" i="7"/>
  <c r="N63" i="7"/>
  <c r="O66" i="7"/>
  <c r="K60" i="7"/>
  <c r="F59" i="7"/>
  <c r="T59" i="7" s="1"/>
  <c r="F57" i="7"/>
  <c r="T57" i="7" s="1"/>
  <c r="K55" i="7"/>
  <c r="F55" i="7"/>
  <c r="T55" i="7" s="1"/>
  <c r="K57" i="7"/>
  <c r="F58" i="7"/>
  <c r="F60" i="7"/>
  <c r="T60" i="7" s="1"/>
  <c r="K59" i="7"/>
  <c r="O68" i="7"/>
  <c r="S68" i="7" s="1"/>
  <c r="O142" i="7"/>
  <c r="U163" i="7"/>
  <c r="Q160" i="7"/>
  <c r="D167" i="7" s="1"/>
  <c r="E167" i="7" s="1"/>
  <c r="O163" i="7"/>
  <c r="S163" i="7" s="1"/>
  <c r="V163" i="7" s="1"/>
  <c r="Q29" i="7"/>
  <c r="H34" i="7" s="1"/>
  <c r="O46" i="7"/>
  <c r="Q68" i="7"/>
  <c r="Q11" i="7"/>
  <c r="Q48" i="7"/>
  <c r="R68" i="7"/>
  <c r="Q122" i="7"/>
  <c r="D128" i="7" s="1"/>
  <c r="E128" i="7" s="1"/>
  <c r="O126" i="7"/>
  <c r="S126" i="7" s="1"/>
  <c r="V126" i="7" s="1"/>
  <c r="Q162" i="7"/>
  <c r="H167" i="7" s="1"/>
  <c r="O47" i="7"/>
  <c r="Q65" i="7"/>
  <c r="O106" i="7"/>
  <c r="Q125" i="7"/>
  <c r="I128" i="7" s="1"/>
  <c r="Q30" i="7"/>
  <c r="U49" i="7"/>
  <c r="R142" i="7"/>
  <c r="Q28" i="7"/>
  <c r="G34" i="7" s="1"/>
  <c r="T34" i="7" s="1"/>
  <c r="U28" i="7"/>
  <c r="G39" i="7" s="1"/>
  <c r="N29" i="7"/>
  <c r="O29" i="7" s="1"/>
  <c r="N28" i="7"/>
  <c r="O28" i="7" s="1"/>
  <c r="Q27" i="7"/>
  <c r="U29" i="7"/>
  <c r="H39" i="7" s="1"/>
  <c r="O31" i="7"/>
  <c r="S31" i="7" s="1"/>
  <c r="V31" i="7" s="1"/>
  <c r="O38" i="7" s="1"/>
  <c r="U30" i="7"/>
  <c r="I39" i="7" s="1"/>
  <c r="U27" i="7"/>
  <c r="O27" i="7"/>
  <c r="S27" i="7" s="1"/>
  <c r="O30" i="7"/>
  <c r="S30" i="7" s="1"/>
  <c r="V30" i="7" s="1"/>
  <c r="R87" i="7"/>
  <c r="U68" i="7"/>
  <c r="S49" i="7"/>
  <c r="V49" i="7" s="1"/>
  <c r="R125" i="7"/>
  <c r="Q181" i="7"/>
  <c r="O182" i="7"/>
  <c r="S182" i="7" s="1"/>
  <c r="R126" i="7"/>
  <c r="Q141" i="7"/>
  <c r="D148" i="7" s="1"/>
  <c r="E148" i="7" s="1"/>
  <c r="Q12" i="7"/>
  <c r="R11" i="7" s="1"/>
  <c r="Q49" i="7"/>
  <c r="I54" i="7" s="1"/>
  <c r="Q50" i="7"/>
  <c r="J54" i="7" s="1"/>
  <c r="Q84" i="7"/>
  <c r="D90" i="7" s="1"/>
  <c r="E90" i="7" s="1"/>
  <c r="O105" i="7"/>
  <c r="Q107" i="7"/>
  <c r="Q46" i="7"/>
  <c r="F52" i="7" s="1"/>
  <c r="Q87" i="7"/>
  <c r="I90" i="7" s="1"/>
  <c r="O88" i="7"/>
  <c r="S88" i="7" s="1"/>
  <c r="V88" i="7" s="1"/>
  <c r="O104" i="7"/>
  <c r="O144" i="7"/>
  <c r="U9" i="7"/>
  <c r="G19" i="7" s="1"/>
  <c r="U67" i="7"/>
  <c r="Q103" i="7"/>
  <c r="D110" i="7" s="1"/>
  <c r="E110" i="7" s="1"/>
  <c r="Q106" i="7"/>
  <c r="I110" i="7" s="1"/>
  <c r="Q179" i="7"/>
  <c r="F185" i="7" s="1"/>
  <c r="Q182" i="7"/>
  <c r="S103" i="7"/>
  <c r="N9" i="7"/>
  <c r="O9" i="7" s="1"/>
  <c r="U11" i="7"/>
  <c r="Q8" i="7"/>
  <c r="Q10" i="7"/>
  <c r="Q9" i="7"/>
  <c r="G15" i="7" s="1"/>
  <c r="U10" i="7"/>
  <c r="U181" i="7"/>
  <c r="O183" i="7"/>
  <c r="S183" i="7" s="1"/>
  <c r="V183" i="7" s="1"/>
  <c r="U179" i="7"/>
  <c r="O181" i="7"/>
  <c r="Q183" i="7"/>
  <c r="J186" i="7" s="1"/>
  <c r="R183" i="7"/>
  <c r="O179" i="7"/>
  <c r="U183" i="7"/>
  <c r="R161" i="7"/>
  <c r="U162" i="7"/>
  <c r="V161" i="7" s="1"/>
  <c r="O164" i="7"/>
  <c r="S164" i="7" s="1"/>
  <c r="V164" i="7" s="1"/>
  <c r="U160" i="7"/>
  <c r="O162" i="7"/>
  <c r="S162" i="7" s="1"/>
  <c r="Q164" i="7"/>
  <c r="R164" i="7"/>
  <c r="O160" i="7"/>
  <c r="R162" i="7"/>
  <c r="U143" i="7"/>
  <c r="O145" i="7"/>
  <c r="S145" i="7" s="1"/>
  <c r="V145" i="7" s="1"/>
  <c r="U144" i="7"/>
  <c r="R145" i="7"/>
  <c r="O143" i="7"/>
  <c r="O141" i="7"/>
  <c r="U141" i="7"/>
  <c r="U124" i="7"/>
  <c r="U125" i="7"/>
  <c r="U122" i="7"/>
  <c r="O122" i="7"/>
  <c r="Q124" i="7"/>
  <c r="O124" i="7"/>
  <c r="O125" i="7"/>
  <c r="S125" i="7" s="1"/>
  <c r="V125" i="7" s="1"/>
  <c r="U105" i="7"/>
  <c r="O107" i="7"/>
  <c r="U103" i="7"/>
  <c r="U106" i="7"/>
  <c r="U86" i="7"/>
  <c r="U84" i="7"/>
  <c r="O86" i="7"/>
  <c r="U87" i="7"/>
  <c r="O84" i="7"/>
  <c r="S84" i="7" s="1"/>
  <c r="V84" i="7" s="1"/>
  <c r="O87" i="7"/>
  <c r="U65" i="7"/>
  <c r="O67" i="7"/>
  <c r="O69" i="7"/>
  <c r="S69" i="7" s="1"/>
  <c r="V69" i="7" s="1"/>
  <c r="R69" i="7"/>
  <c r="O73" i="7" s="1"/>
  <c r="O65" i="7"/>
  <c r="Q67" i="7"/>
  <c r="U48" i="7"/>
  <c r="O50" i="7"/>
  <c r="S50" i="7" s="1"/>
  <c r="V50" i="7" s="1"/>
  <c r="O58" i="7" s="1"/>
  <c r="U46" i="7"/>
  <c r="O48" i="7"/>
  <c r="R48" i="7"/>
  <c r="O12" i="7"/>
  <c r="S12" i="7" s="1"/>
  <c r="V12" i="7" s="1"/>
  <c r="O19" i="7" s="1"/>
  <c r="U8" i="7"/>
  <c r="O10" i="7"/>
  <c r="O8" i="7"/>
  <c r="S8" i="7" s="1"/>
  <c r="R10" i="7"/>
  <c r="O11" i="7"/>
  <c r="S11" i="7" s="1"/>
  <c r="V11" i="7" s="1"/>
  <c r="U105" i="6"/>
  <c r="O104" i="6"/>
  <c r="S104" i="6" s="1"/>
  <c r="L101" i="6"/>
  <c r="N105" i="6"/>
  <c r="O105" i="6" s="1"/>
  <c r="Q103" i="6"/>
  <c r="D112" i="6" s="1"/>
  <c r="E112" i="6" s="1"/>
  <c r="R86" i="6"/>
  <c r="M93" i="6" s="1"/>
  <c r="Q84" i="6"/>
  <c r="F91" i="6" s="1"/>
  <c r="N85" i="6"/>
  <c r="O85" i="6" s="1"/>
  <c r="U103" i="6"/>
  <c r="U106" i="6"/>
  <c r="O103" i="6"/>
  <c r="O106" i="6"/>
  <c r="S106" i="6" s="1"/>
  <c r="V106" i="6" s="1"/>
  <c r="V87" i="6"/>
  <c r="O88" i="6"/>
  <c r="S88" i="6" s="1"/>
  <c r="V88" i="6" s="1"/>
  <c r="U84" i="6"/>
  <c r="O86" i="6"/>
  <c r="Q88" i="6"/>
  <c r="J91" i="6" s="1"/>
  <c r="U86" i="6"/>
  <c r="R88" i="6"/>
  <c r="O84" i="6"/>
  <c r="D193" i="6"/>
  <c r="D192" i="6"/>
  <c r="D191" i="6"/>
  <c r="D190" i="6"/>
  <c r="D188" i="6"/>
  <c r="D187" i="6"/>
  <c r="D186" i="6"/>
  <c r="T183" i="6"/>
  <c r="P183" i="6"/>
  <c r="N183" i="6"/>
  <c r="M183" i="6"/>
  <c r="L183" i="6"/>
  <c r="U183" i="6" s="1"/>
  <c r="T182" i="6"/>
  <c r="P182" i="6"/>
  <c r="N182" i="6"/>
  <c r="M182" i="6"/>
  <c r="L182" i="6"/>
  <c r="M181" i="6"/>
  <c r="L181" i="6"/>
  <c r="N181" i="6" s="1"/>
  <c r="M180" i="6"/>
  <c r="L180" i="6"/>
  <c r="N180" i="6" s="1"/>
  <c r="M179" i="6"/>
  <c r="L179" i="6"/>
  <c r="N179" i="6" s="1"/>
  <c r="D174" i="6"/>
  <c r="D173" i="6"/>
  <c r="D172" i="6"/>
  <c r="D171" i="6"/>
  <c r="D169" i="6"/>
  <c r="D168" i="6"/>
  <c r="D167" i="6"/>
  <c r="T164" i="6"/>
  <c r="P164" i="6"/>
  <c r="N164" i="6"/>
  <c r="M164" i="6"/>
  <c r="L164" i="6"/>
  <c r="Q164" i="6" s="1"/>
  <c r="T163" i="6"/>
  <c r="P163" i="6"/>
  <c r="N163" i="6"/>
  <c r="M163" i="6"/>
  <c r="L163" i="6"/>
  <c r="M162" i="6"/>
  <c r="L162" i="6"/>
  <c r="N162" i="6" s="1"/>
  <c r="M161" i="6"/>
  <c r="L161" i="6"/>
  <c r="T160" i="6"/>
  <c r="P160" i="6"/>
  <c r="N160" i="6"/>
  <c r="M160" i="6"/>
  <c r="L160" i="6"/>
  <c r="N158" i="6"/>
  <c r="L158" i="6"/>
  <c r="D155" i="6"/>
  <c r="D154" i="6"/>
  <c r="D153" i="6"/>
  <c r="D152" i="6"/>
  <c r="D150" i="6"/>
  <c r="D149" i="6"/>
  <c r="D148" i="6"/>
  <c r="T145" i="6"/>
  <c r="P145" i="6"/>
  <c r="N145" i="6"/>
  <c r="M145" i="6"/>
  <c r="L145" i="6"/>
  <c r="T144" i="6"/>
  <c r="P144" i="6"/>
  <c r="N144" i="6"/>
  <c r="M144" i="6"/>
  <c r="L144" i="6"/>
  <c r="M143" i="6"/>
  <c r="L143" i="6"/>
  <c r="N143" i="6" s="1"/>
  <c r="M142" i="6"/>
  <c r="L142" i="6"/>
  <c r="N142" i="6" s="1"/>
  <c r="O142" i="6" s="1"/>
  <c r="T141" i="6"/>
  <c r="P141" i="6"/>
  <c r="N141" i="6"/>
  <c r="M141" i="6"/>
  <c r="L141" i="6"/>
  <c r="N139" i="6"/>
  <c r="D136" i="6"/>
  <c r="D135" i="6"/>
  <c r="D134" i="6"/>
  <c r="D133" i="6"/>
  <c r="D131" i="6"/>
  <c r="D130" i="6"/>
  <c r="D128" i="6"/>
  <c r="T126" i="6"/>
  <c r="P126" i="6"/>
  <c r="N126" i="6"/>
  <c r="R126" i="6" s="1"/>
  <c r="M126" i="6"/>
  <c r="L126" i="6"/>
  <c r="U126" i="6" s="1"/>
  <c r="M125" i="6"/>
  <c r="L125" i="6"/>
  <c r="N125" i="6" s="1"/>
  <c r="M124" i="6"/>
  <c r="L124" i="6"/>
  <c r="N124" i="6" s="1"/>
  <c r="M123" i="6"/>
  <c r="L123" i="6"/>
  <c r="N123" i="6" s="1"/>
  <c r="M122" i="6"/>
  <c r="L122" i="6"/>
  <c r="N122" i="6" s="1"/>
  <c r="D79" i="6"/>
  <c r="D78" i="6"/>
  <c r="D77" i="6"/>
  <c r="D76" i="6"/>
  <c r="D74" i="6"/>
  <c r="D73" i="6"/>
  <c r="T69" i="6"/>
  <c r="P69" i="6"/>
  <c r="N69" i="6"/>
  <c r="M69" i="6"/>
  <c r="L69" i="6"/>
  <c r="U69" i="6" s="1"/>
  <c r="M68" i="6"/>
  <c r="L68" i="6"/>
  <c r="Q68" i="6" s="1"/>
  <c r="M67" i="6"/>
  <c r="L67" i="6"/>
  <c r="M66" i="6"/>
  <c r="L66" i="6"/>
  <c r="N66" i="6" s="1"/>
  <c r="O66" i="6" s="1"/>
  <c r="S66" i="6" s="1"/>
  <c r="M65" i="6"/>
  <c r="L65" i="6"/>
  <c r="D60" i="6"/>
  <c r="D59" i="6"/>
  <c r="D58" i="6"/>
  <c r="D57" i="6"/>
  <c r="D54" i="6"/>
  <c r="D53" i="6"/>
  <c r="T50" i="6"/>
  <c r="P50" i="6"/>
  <c r="N50" i="6"/>
  <c r="R50" i="6" s="1"/>
  <c r="M50" i="6"/>
  <c r="L50" i="6"/>
  <c r="U50" i="6" s="1"/>
  <c r="T49" i="6"/>
  <c r="Q49" i="6"/>
  <c r="P49" i="6"/>
  <c r="N49" i="6"/>
  <c r="M49" i="6"/>
  <c r="L49" i="6"/>
  <c r="M48" i="6"/>
  <c r="L48" i="6"/>
  <c r="Q48" i="6" s="1"/>
  <c r="M47" i="6"/>
  <c r="L47" i="6"/>
  <c r="N47" i="6" s="1"/>
  <c r="M46" i="6"/>
  <c r="L46" i="6"/>
  <c r="N46" i="6" s="1"/>
  <c r="O46" i="6" s="1"/>
  <c r="D41" i="6"/>
  <c r="D40" i="6"/>
  <c r="D39" i="6"/>
  <c r="D38" i="6"/>
  <c r="D36" i="6"/>
  <c r="D35" i="6"/>
  <c r="D34" i="6"/>
  <c r="T31" i="6"/>
  <c r="P31" i="6"/>
  <c r="N31" i="6"/>
  <c r="M31" i="6"/>
  <c r="L31" i="6"/>
  <c r="T30" i="6"/>
  <c r="P30" i="6"/>
  <c r="N30" i="6"/>
  <c r="M30" i="6"/>
  <c r="L30" i="6"/>
  <c r="T29" i="6"/>
  <c r="P29" i="6"/>
  <c r="N29" i="6"/>
  <c r="M29" i="6"/>
  <c r="L29" i="6"/>
  <c r="M28" i="6"/>
  <c r="L28" i="6"/>
  <c r="M27" i="6"/>
  <c r="L27" i="6"/>
  <c r="D22" i="6"/>
  <c r="D21" i="6"/>
  <c r="D20" i="6"/>
  <c r="D19" i="6"/>
  <c r="D17" i="6"/>
  <c r="T12" i="6"/>
  <c r="P12" i="6"/>
  <c r="N12" i="6"/>
  <c r="R12" i="6" s="1"/>
  <c r="M12" i="6"/>
  <c r="L12" i="6"/>
  <c r="Q12" i="6" s="1"/>
  <c r="T11" i="6"/>
  <c r="P11" i="6"/>
  <c r="N11" i="6"/>
  <c r="M11" i="6"/>
  <c r="L11" i="6"/>
  <c r="M10" i="6"/>
  <c r="L10" i="6"/>
  <c r="N10" i="6" s="1"/>
  <c r="M9" i="6"/>
  <c r="L9" i="6"/>
  <c r="M8" i="6"/>
  <c r="L8" i="6"/>
  <c r="H57" i="8" l="1"/>
  <c r="H58" i="8"/>
  <c r="G57" i="8"/>
  <c r="G58" i="8"/>
  <c r="T58" i="8" s="1"/>
  <c r="F192" i="8"/>
  <c r="D187" i="8"/>
  <c r="E187" i="8" s="1"/>
  <c r="D192" i="8"/>
  <c r="E192" i="8" s="1"/>
  <c r="G171" i="8"/>
  <c r="T171" i="8" s="1"/>
  <c r="G174" i="8"/>
  <c r="T174" i="8" s="1"/>
  <c r="R160" i="8"/>
  <c r="G169" i="8"/>
  <c r="T169" i="8" s="1"/>
  <c r="D174" i="8"/>
  <c r="E174" i="8" s="1"/>
  <c r="D169" i="8"/>
  <c r="E169" i="8" s="1"/>
  <c r="H174" i="8"/>
  <c r="M169" i="8"/>
  <c r="H169" i="8"/>
  <c r="T204" i="8"/>
  <c r="T152" i="8"/>
  <c r="R198" i="8"/>
  <c r="N190" i="8"/>
  <c r="O185" i="8"/>
  <c r="J185" i="8"/>
  <c r="D185" i="8"/>
  <c r="E185" i="8" s="1"/>
  <c r="D190" i="8"/>
  <c r="E190" i="8" s="1"/>
  <c r="N166" i="8"/>
  <c r="R180" i="8"/>
  <c r="R181" i="8"/>
  <c r="M185" i="8" s="1"/>
  <c r="I190" i="8"/>
  <c r="R182" i="8"/>
  <c r="N185" i="8" s="1"/>
  <c r="I166" i="8"/>
  <c r="S179" i="8"/>
  <c r="T179" i="8"/>
  <c r="U180" i="8" s="1"/>
  <c r="P179" i="8"/>
  <c r="F185" i="8"/>
  <c r="S181" i="8"/>
  <c r="V181" i="8" s="1"/>
  <c r="M190" i="8" s="1"/>
  <c r="T181" i="8"/>
  <c r="P181" i="8"/>
  <c r="H171" i="8"/>
  <c r="G166" i="8"/>
  <c r="T166" i="8" s="1"/>
  <c r="V160" i="8"/>
  <c r="D171" i="8"/>
  <c r="E171" i="8" s="1"/>
  <c r="D166" i="8"/>
  <c r="E166" i="8" s="1"/>
  <c r="S161" i="8"/>
  <c r="V161" i="8" s="1"/>
  <c r="L171" i="8" s="1"/>
  <c r="P161" i="8"/>
  <c r="T161" i="8"/>
  <c r="S162" i="8"/>
  <c r="V162" i="8" s="1"/>
  <c r="M171" i="8" s="1"/>
  <c r="T162" i="8"/>
  <c r="P162" i="8"/>
  <c r="R161" i="8"/>
  <c r="L166" i="8" s="1"/>
  <c r="P166" i="8" s="1"/>
  <c r="V27" i="8"/>
  <c r="I93" i="8"/>
  <c r="F136" i="8"/>
  <c r="T136" i="8" s="1"/>
  <c r="K136" i="8"/>
  <c r="F131" i="8"/>
  <c r="T131" i="8" s="1"/>
  <c r="F129" i="8"/>
  <c r="K135" i="8"/>
  <c r="K130" i="8"/>
  <c r="F130" i="8"/>
  <c r="T130" i="8" s="1"/>
  <c r="R66" i="8"/>
  <c r="L71" i="8" s="1"/>
  <c r="O66" i="8"/>
  <c r="S66" i="8" s="1"/>
  <c r="V66" i="8" s="1"/>
  <c r="L76" i="8" s="1"/>
  <c r="I91" i="8"/>
  <c r="R124" i="8"/>
  <c r="M129" i="8" s="1"/>
  <c r="F128" i="8"/>
  <c r="R105" i="8"/>
  <c r="M109" i="8" s="1"/>
  <c r="G205" i="8"/>
  <c r="T205" i="8" s="1"/>
  <c r="H129" i="8"/>
  <c r="I109" i="8"/>
  <c r="N109" i="8"/>
  <c r="V103" i="8"/>
  <c r="V198" i="8"/>
  <c r="R29" i="8"/>
  <c r="M36" i="8" s="1"/>
  <c r="V49" i="8"/>
  <c r="N57" i="8" s="1"/>
  <c r="I33" i="8"/>
  <c r="V46" i="8"/>
  <c r="R142" i="8"/>
  <c r="L147" i="8" s="1"/>
  <c r="J109" i="8"/>
  <c r="T57" i="8"/>
  <c r="J110" i="8"/>
  <c r="N93" i="8"/>
  <c r="N91" i="8"/>
  <c r="F133" i="8"/>
  <c r="G115" i="8"/>
  <c r="I98" i="8"/>
  <c r="N110" i="8"/>
  <c r="O133" i="8"/>
  <c r="O134" i="8"/>
  <c r="N52" i="8"/>
  <c r="I52" i="8"/>
  <c r="T38" i="8"/>
  <c r="R48" i="8"/>
  <c r="M52" i="8" s="1"/>
  <c r="O143" i="8"/>
  <c r="S143" i="8" s="1"/>
  <c r="V143" i="8" s="1"/>
  <c r="M152" i="8" s="1"/>
  <c r="O205" i="8"/>
  <c r="O204" i="8"/>
  <c r="D152" i="8"/>
  <c r="E152" i="8" s="1"/>
  <c r="D147" i="8"/>
  <c r="E147" i="8" s="1"/>
  <c r="D76" i="8"/>
  <c r="E76" i="8" s="1"/>
  <c r="D71" i="8"/>
  <c r="E71" i="8" s="1"/>
  <c r="J205" i="8"/>
  <c r="H133" i="8"/>
  <c r="I128" i="8"/>
  <c r="T147" i="8"/>
  <c r="O71" i="8"/>
  <c r="D38" i="8"/>
  <c r="E38" i="8" s="1"/>
  <c r="D41" i="8"/>
  <c r="E41" i="8" s="1"/>
  <c r="D36" i="8"/>
  <c r="E36" i="8" s="1"/>
  <c r="D33" i="8"/>
  <c r="E33" i="8" s="1"/>
  <c r="I57" i="8"/>
  <c r="O95" i="8"/>
  <c r="I129" i="8"/>
  <c r="T36" i="8"/>
  <c r="R125" i="8"/>
  <c r="N129" i="8" s="1"/>
  <c r="O129" i="8"/>
  <c r="O128" i="8"/>
  <c r="M204" i="8"/>
  <c r="M205" i="8"/>
  <c r="O57" i="8"/>
  <c r="J57" i="8"/>
  <c r="J128" i="8"/>
  <c r="H36" i="8"/>
  <c r="O93" i="8"/>
  <c r="O91" i="8"/>
  <c r="J93" i="8"/>
  <c r="J91" i="8"/>
  <c r="O90" i="8"/>
  <c r="J90" i="8"/>
  <c r="I71" i="8"/>
  <c r="N90" i="8"/>
  <c r="O96" i="8"/>
  <c r="N33" i="8"/>
  <c r="N36" i="8"/>
  <c r="D205" i="8"/>
  <c r="E205" i="8" s="1"/>
  <c r="D204" i="8"/>
  <c r="E204" i="8" s="1"/>
  <c r="H41" i="8"/>
  <c r="D134" i="8"/>
  <c r="E134" i="8" s="1"/>
  <c r="D128" i="8"/>
  <c r="E128" i="8" s="1"/>
  <c r="D129" i="8"/>
  <c r="E129" i="8" s="1"/>
  <c r="D133" i="8"/>
  <c r="E133" i="8" s="1"/>
  <c r="N133" i="8"/>
  <c r="N134" i="8"/>
  <c r="I133" i="8"/>
  <c r="I134" i="8"/>
  <c r="G41" i="8"/>
  <c r="T41" i="8" s="1"/>
  <c r="H134" i="8"/>
  <c r="J129" i="8"/>
  <c r="V144" i="8"/>
  <c r="N152" i="8" s="1"/>
  <c r="O152" i="8"/>
  <c r="R201" i="8"/>
  <c r="N204" i="8" s="1"/>
  <c r="M128" i="8"/>
  <c r="N14" i="8"/>
  <c r="I14" i="8"/>
  <c r="G71" i="8"/>
  <c r="T71" i="8" s="1"/>
  <c r="O38" i="8"/>
  <c r="O41" i="8"/>
  <c r="V30" i="8"/>
  <c r="N41" i="8" s="1"/>
  <c r="N98" i="8"/>
  <c r="N96" i="8"/>
  <c r="N95" i="8"/>
  <c r="I114" i="8"/>
  <c r="N115" i="8"/>
  <c r="I115" i="8"/>
  <c r="N114" i="8"/>
  <c r="R143" i="8"/>
  <c r="M147" i="8" s="1"/>
  <c r="I147" i="8"/>
  <c r="I205" i="8"/>
  <c r="O109" i="8"/>
  <c r="O110" i="8"/>
  <c r="O115" i="8"/>
  <c r="H205" i="8"/>
  <c r="J38" i="8"/>
  <c r="R141" i="8"/>
  <c r="I38" i="8"/>
  <c r="H76" i="8"/>
  <c r="M76" i="8"/>
  <c r="R144" i="8"/>
  <c r="N147" i="8" s="1"/>
  <c r="O147" i="8"/>
  <c r="R27" i="8"/>
  <c r="J204" i="8"/>
  <c r="J52" i="8"/>
  <c r="O52" i="8"/>
  <c r="M71" i="8"/>
  <c r="H71" i="8"/>
  <c r="R68" i="8"/>
  <c r="N71" i="8" s="1"/>
  <c r="G33" i="8"/>
  <c r="T33" i="8" s="1"/>
  <c r="I204" i="8"/>
  <c r="I95" i="8"/>
  <c r="J71" i="8"/>
  <c r="H38" i="8"/>
  <c r="H93" i="6"/>
  <c r="J166" i="6"/>
  <c r="U49" i="6"/>
  <c r="N25" i="6"/>
  <c r="O30" i="6"/>
  <c r="L210" i="10"/>
  <c r="P210" i="10" s="1"/>
  <c r="L209" i="10"/>
  <c r="P209" i="10" s="1"/>
  <c r="P154" i="10"/>
  <c r="Q100" i="10"/>
  <c r="L114" i="10"/>
  <c r="P114" i="10" s="1"/>
  <c r="L116" i="10"/>
  <c r="P116" i="10"/>
  <c r="L96" i="9"/>
  <c r="P96" i="9" s="1"/>
  <c r="L95" i="9"/>
  <c r="P95" i="9" s="1"/>
  <c r="T114" i="8"/>
  <c r="S47" i="8"/>
  <c r="V47" i="8" s="1"/>
  <c r="L57" i="8" s="1"/>
  <c r="P47" i="8"/>
  <c r="Q43" i="8" s="1"/>
  <c r="L52" i="8"/>
  <c r="G52" i="8"/>
  <c r="T52" i="8" s="1"/>
  <c r="D57" i="8"/>
  <c r="E57" i="8" s="1"/>
  <c r="D52" i="8"/>
  <c r="E52" i="8" s="1"/>
  <c r="S200" i="10"/>
  <c r="V200" i="10" s="1"/>
  <c r="T200" i="10"/>
  <c r="P200" i="10"/>
  <c r="R201" i="10"/>
  <c r="P199" i="10"/>
  <c r="T199" i="10"/>
  <c r="T201" i="10"/>
  <c r="P201" i="10"/>
  <c r="T181" i="10"/>
  <c r="P181" i="10"/>
  <c r="S180" i="10"/>
  <c r="V180" i="10" s="1"/>
  <c r="T180" i="10"/>
  <c r="P180" i="10"/>
  <c r="S163" i="10"/>
  <c r="V163" i="10" s="1"/>
  <c r="T163" i="10"/>
  <c r="P163" i="10"/>
  <c r="S162" i="10"/>
  <c r="V162" i="10" s="1"/>
  <c r="T162" i="10"/>
  <c r="P162" i="10"/>
  <c r="S160" i="10"/>
  <c r="P160" i="10"/>
  <c r="Q161" i="10" s="1"/>
  <c r="R160" i="10" s="1"/>
  <c r="T160" i="10"/>
  <c r="T142" i="10"/>
  <c r="P142" i="10"/>
  <c r="Q138" i="10" s="1"/>
  <c r="S143" i="10"/>
  <c r="V143" i="10" s="1"/>
  <c r="P143" i="10"/>
  <c r="T143" i="10"/>
  <c r="O144" i="10"/>
  <c r="T125" i="10"/>
  <c r="P125" i="10"/>
  <c r="O124" i="10"/>
  <c r="V123" i="10"/>
  <c r="L135" i="10" s="1"/>
  <c r="P135" i="10" s="1"/>
  <c r="S125" i="10"/>
  <c r="V125" i="10" s="1"/>
  <c r="T123" i="10"/>
  <c r="P123" i="10"/>
  <c r="T106" i="10"/>
  <c r="P106" i="10"/>
  <c r="S106" i="10"/>
  <c r="V106" i="10" s="1"/>
  <c r="S105" i="10"/>
  <c r="V105" i="10" s="1"/>
  <c r="T105" i="10"/>
  <c r="P105" i="10"/>
  <c r="V86" i="10"/>
  <c r="T86" i="10"/>
  <c r="P86" i="10"/>
  <c r="O84" i="10"/>
  <c r="T85" i="10"/>
  <c r="P85" i="10"/>
  <c r="P66" i="10"/>
  <c r="T66" i="10"/>
  <c r="T68" i="10"/>
  <c r="P68" i="10"/>
  <c r="S67" i="10"/>
  <c r="V67" i="10" s="1"/>
  <c r="P67" i="10"/>
  <c r="T67" i="10"/>
  <c r="T65" i="10"/>
  <c r="U66" i="10" s="1"/>
  <c r="P65" i="10"/>
  <c r="Q66" i="10" s="1"/>
  <c r="R65" i="10" s="1"/>
  <c r="S65" i="10"/>
  <c r="S49" i="10"/>
  <c r="V49" i="10" s="1"/>
  <c r="T49" i="10"/>
  <c r="P49" i="10"/>
  <c r="P48" i="10"/>
  <c r="T48" i="10"/>
  <c r="O47" i="10"/>
  <c r="S29" i="10"/>
  <c r="V29" i="10" s="1"/>
  <c r="T29" i="10"/>
  <c r="P29" i="10"/>
  <c r="S11" i="10"/>
  <c r="V11" i="10" s="1"/>
  <c r="T11" i="10"/>
  <c r="P11" i="10"/>
  <c r="S10" i="10"/>
  <c r="V10" i="10" s="1"/>
  <c r="T10" i="10"/>
  <c r="P10" i="10"/>
  <c r="P9" i="10"/>
  <c r="T9" i="10"/>
  <c r="V48" i="10"/>
  <c r="V9" i="10"/>
  <c r="H33" i="7"/>
  <c r="P66" i="11"/>
  <c r="T66" i="11"/>
  <c r="P71" i="11"/>
  <c r="T85" i="11"/>
  <c r="Q81" i="11" s="1"/>
  <c r="P85" i="11"/>
  <c r="O86" i="11"/>
  <c r="S85" i="11"/>
  <c r="V85" i="11" s="1"/>
  <c r="S48" i="11"/>
  <c r="V48" i="11" s="1"/>
  <c r="P48" i="11"/>
  <c r="T48" i="11"/>
  <c r="S47" i="11"/>
  <c r="V47" i="11" s="1"/>
  <c r="P47" i="11"/>
  <c r="T47" i="11"/>
  <c r="V46" i="11"/>
  <c r="S29" i="11"/>
  <c r="V29" i="11" s="1"/>
  <c r="T29" i="11"/>
  <c r="P29" i="11"/>
  <c r="S10" i="11"/>
  <c r="V10" i="11" s="1"/>
  <c r="T10" i="11"/>
  <c r="P10" i="11"/>
  <c r="V66" i="11"/>
  <c r="S141" i="9"/>
  <c r="P141" i="9"/>
  <c r="Q142" i="9" s="1"/>
  <c r="R141" i="9" s="1"/>
  <c r="T141" i="9"/>
  <c r="S143" i="9"/>
  <c r="V143" i="9" s="1"/>
  <c r="T143" i="9"/>
  <c r="P143" i="9"/>
  <c r="T124" i="9"/>
  <c r="P124" i="9"/>
  <c r="O123" i="9"/>
  <c r="S124" i="9"/>
  <c r="V124" i="9" s="1"/>
  <c r="V104" i="9"/>
  <c r="L114" i="9" s="1"/>
  <c r="P114" i="9" s="1"/>
  <c r="S106" i="9"/>
  <c r="V106" i="9" s="1"/>
  <c r="P106" i="9"/>
  <c r="T106" i="9"/>
  <c r="S105" i="9"/>
  <c r="V105" i="9" s="1"/>
  <c r="T105" i="9"/>
  <c r="P105" i="9"/>
  <c r="T85" i="9"/>
  <c r="P85" i="9"/>
  <c r="V84" i="9"/>
  <c r="T86" i="9"/>
  <c r="P86" i="9"/>
  <c r="S86" i="9"/>
  <c r="V86" i="9" s="1"/>
  <c r="O67" i="9"/>
  <c r="S66" i="9"/>
  <c r="V66" i="9" s="1"/>
  <c r="T66" i="9"/>
  <c r="P66" i="9"/>
  <c r="Q62" i="9" s="1"/>
  <c r="P47" i="9"/>
  <c r="T47" i="9"/>
  <c r="V48" i="9"/>
  <c r="T48" i="9"/>
  <c r="P48" i="9"/>
  <c r="S29" i="9"/>
  <c r="V29" i="9" s="1"/>
  <c r="T29" i="9"/>
  <c r="P29" i="9"/>
  <c r="S28" i="9"/>
  <c r="V28" i="9" s="1"/>
  <c r="T28" i="9"/>
  <c r="P28" i="9"/>
  <c r="S10" i="9"/>
  <c r="V10" i="9" s="1"/>
  <c r="P10" i="9"/>
  <c r="T10" i="9"/>
  <c r="S9" i="9"/>
  <c r="V9" i="9" s="1"/>
  <c r="T9" i="9"/>
  <c r="P9" i="9"/>
  <c r="V142" i="9"/>
  <c r="V47" i="9"/>
  <c r="S48" i="8"/>
  <c r="V48" i="8" s="1"/>
  <c r="M57" i="8" s="1"/>
  <c r="P48" i="8"/>
  <c r="T48" i="8"/>
  <c r="V8" i="8"/>
  <c r="R8" i="8"/>
  <c r="G14" i="8"/>
  <c r="T14" i="8" s="1"/>
  <c r="M14" i="8"/>
  <c r="H14" i="8"/>
  <c r="T200" i="8"/>
  <c r="P200" i="8"/>
  <c r="S202" i="8"/>
  <c r="V202" i="8" s="1"/>
  <c r="T202" i="8"/>
  <c r="P202" i="8"/>
  <c r="S200" i="8"/>
  <c r="V200" i="8" s="1"/>
  <c r="S199" i="8"/>
  <c r="V199" i="8" s="1"/>
  <c r="T199" i="8"/>
  <c r="P199" i="8"/>
  <c r="R199" i="8"/>
  <c r="V201" i="8"/>
  <c r="T142" i="8"/>
  <c r="P142" i="8"/>
  <c r="V141" i="8"/>
  <c r="S142" i="8"/>
  <c r="V142" i="8" s="1"/>
  <c r="L152" i="8" s="1"/>
  <c r="S122" i="8"/>
  <c r="T122" i="8"/>
  <c r="U123" i="8" s="1"/>
  <c r="P122" i="8"/>
  <c r="Q123" i="8" s="1"/>
  <c r="S124" i="8"/>
  <c r="V124" i="8" s="1"/>
  <c r="M133" i="8" s="1"/>
  <c r="P124" i="8"/>
  <c r="T124" i="8"/>
  <c r="R123" i="8"/>
  <c r="S123" i="8"/>
  <c r="V123" i="8" s="1"/>
  <c r="T123" i="8"/>
  <c r="P123" i="8"/>
  <c r="R84" i="8"/>
  <c r="R85" i="8"/>
  <c r="L90" i="8" s="1"/>
  <c r="G93" i="8"/>
  <c r="T93" i="8" s="1"/>
  <c r="G91" i="8"/>
  <c r="T91" i="8" s="1"/>
  <c r="T90" i="8"/>
  <c r="V84" i="8"/>
  <c r="D98" i="8"/>
  <c r="E98" i="8" s="1"/>
  <c r="D93" i="8"/>
  <c r="E93" i="8" s="1"/>
  <c r="D96" i="8"/>
  <c r="E96" i="8" s="1"/>
  <c r="D91" i="8"/>
  <c r="E91" i="8" s="1"/>
  <c r="D95" i="8"/>
  <c r="E95" i="8" s="1"/>
  <c r="D90" i="8"/>
  <c r="E90" i="8" s="1"/>
  <c r="M93" i="8"/>
  <c r="H91" i="8"/>
  <c r="M90" i="8"/>
  <c r="H90" i="8"/>
  <c r="H93" i="8"/>
  <c r="M91" i="8"/>
  <c r="G96" i="8"/>
  <c r="T96" i="8" s="1"/>
  <c r="G95" i="8"/>
  <c r="T95" i="8" s="1"/>
  <c r="G98" i="8"/>
  <c r="T98" i="8" s="1"/>
  <c r="H96" i="8"/>
  <c r="H95" i="8"/>
  <c r="H98" i="8"/>
  <c r="T105" i="8"/>
  <c r="P105" i="8"/>
  <c r="S105" i="8"/>
  <c r="V105" i="8" s="1"/>
  <c r="M115" i="8" s="1"/>
  <c r="T115" i="8"/>
  <c r="R103" i="8"/>
  <c r="G110" i="8"/>
  <c r="T110" i="8" s="1"/>
  <c r="G109" i="8"/>
  <c r="T109" i="8" s="1"/>
  <c r="D114" i="8"/>
  <c r="E114" i="8" s="1"/>
  <c r="D109" i="8"/>
  <c r="E109" i="8" s="1"/>
  <c r="D110" i="8"/>
  <c r="E110" i="8" s="1"/>
  <c r="D115" i="8"/>
  <c r="E115" i="8" s="1"/>
  <c r="R104" i="8"/>
  <c r="L110" i="8" s="1"/>
  <c r="M110" i="8"/>
  <c r="H110" i="8"/>
  <c r="H109" i="8"/>
  <c r="H115" i="8"/>
  <c r="H114" i="8"/>
  <c r="S104" i="8"/>
  <c r="V104" i="8" s="1"/>
  <c r="P104" i="8"/>
  <c r="T104" i="8"/>
  <c r="P85" i="8"/>
  <c r="T85" i="8"/>
  <c r="S86" i="8"/>
  <c r="V86" i="8" s="1"/>
  <c r="T86" i="8"/>
  <c r="P86" i="8"/>
  <c r="S85" i="8"/>
  <c r="V85" i="8" s="1"/>
  <c r="L95" i="8" s="1"/>
  <c r="T67" i="8"/>
  <c r="P67" i="8"/>
  <c r="S9" i="8"/>
  <c r="V9" i="8" s="1"/>
  <c r="P9" i="8"/>
  <c r="T9" i="8"/>
  <c r="S10" i="8"/>
  <c r="V10" i="8" s="1"/>
  <c r="T10" i="8"/>
  <c r="P10" i="8"/>
  <c r="R9" i="8"/>
  <c r="L14" i="8" s="1"/>
  <c r="S28" i="8"/>
  <c r="V28" i="8" s="1"/>
  <c r="T28" i="8"/>
  <c r="P28" i="8"/>
  <c r="R28" i="8"/>
  <c r="L33" i="8" s="1"/>
  <c r="S29" i="8"/>
  <c r="V29" i="8" s="1"/>
  <c r="M38" i="8" s="1"/>
  <c r="T29" i="8"/>
  <c r="P29" i="8"/>
  <c r="V103" i="7"/>
  <c r="F53" i="7"/>
  <c r="O128" i="7"/>
  <c r="R86" i="7"/>
  <c r="I53" i="7"/>
  <c r="J185" i="7"/>
  <c r="G14" i="7"/>
  <c r="S180" i="7"/>
  <c r="V180" i="7" s="1"/>
  <c r="O71" i="7"/>
  <c r="I71" i="7"/>
  <c r="N73" i="7"/>
  <c r="N72" i="7"/>
  <c r="N71" i="7"/>
  <c r="I72" i="7"/>
  <c r="I73" i="7"/>
  <c r="N33" i="7"/>
  <c r="V162" i="7"/>
  <c r="N20" i="7"/>
  <c r="I19" i="7"/>
  <c r="N19" i="7"/>
  <c r="R47" i="7"/>
  <c r="M54" i="7"/>
  <c r="M53" i="7"/>
  <c r="M52" i="7"/>
  <c r="H52" i="7"/>
  <c r="R104" i="7"/>
  <c r="R124" i="7"/>
  <c r="N14" i="7"/>
  <c r="N15" i="7"/>
  <c r="I14" i="7"/>
  <c r="F128" i="7"/>
  <c r="F148" i="7"/>
  <c r="O72" i="7"/>
  <c r="H54" i="7"/>
  <c r="O39" i="7"/>
  <c r="M128" i="7"/>
  <c r="R181" i="7"/>
  <c r="N185" i="7"/>
  <c r="I52" i="7"/>
  <c r="R27" i="7"/>
  <c r="G20" i="7"/>
  <c r="T20" i="7" s="1"/>
  <c r="J52" i="7"/>
  <c r="G110" i="7"/>
  <c r="T110" i="7" s="1"/>
  <c r="R144" i="7"/>
  <c r="N148" i="7" s="1"/>
  <c r="J148" i="7"/>
  <c r="O148" i="7"/>
  <c r="T15" i="7"/>
  <c r="R163" i="7"/>
  <c r="N167" i="7" s="1"/>
  <c r="J167" i="7"/>
  <c r="O167" i="7"/>
  <c r="N39" i="7"/>
  <c r="N38" i="7"/>
  <c r="H20" i="7"/>
  <c r="N90" i="7"/>
  <c r="O15" i="7"/>
  <c r="O14" i="7"/>
  <c r="M167" i="7"/>
  <c r="T19" i="7"/>
  <c r="T39" i="7"/>
  <c r="I185" i="7"/>
  <c r="I38" i="7"/>
  <c r="J14" i="7"/>
  <c r="I15" i="7"/>
  <c r="J15" i="7"/>
  <c r="R105" i="7"/>
  <c r="M110" i="7" s="1"/>
  <c r="D54" i="7"/>
  <c r="E54" i="7" s="1"/>
  <c r="D53" i="7"/>
  <c r="E53" i="7" s="1"/>
  <c r="D52" i="7"/>
  <c r="E52" i="7" s="1"/>
  <c r="D58" i="7"/>
  <c r="E58" i="7" s="1"/>
  <c r="G33" i="7"/>
  <c r="T33" i="7" s="1"/>
  <c r="O34" i="7"/>
  <c r="J34" i="7"/>
  <c r="O33" i="7"/>
  <c r="I34" i="7"/>
  <c r="I186" i="7"/>
  <c r="J33" i="7"/>
  <c r="R49" i="7"/>
  <c r="N54" i="7" s="1"/>
  <c r="O52" i="7"/>
  <c r="O54" i="7"/>
  <c r="O53" i="7"/>
  <c r="R67" i="7"/>
  <c r="M72" i="7" s="1"/>
  <c r="R182" i="7"/>
  <c r="N186" i="7" s="1"/>
  <c r="O185" i="7"/>
  <c r="O186" i="7"/>
  <c r="M15" i="7"/>
  <c r="M14" i="7"/>
  <c r="H14" i="7"/>
  <c r="R30" i="7"/>
  <c r="N34" i="7" s="1"/>
  <c r="N58" i="7"/>
  <c r="R85" i="7"/>
  <c r="L90" i="7" s="1"/>
  <c r="P90" i="7" s="1"/>
  <c r="M90" i="7"/>
  <c r="O20" i="7"/>
  <c r="I148" i="7"/>
  <c r="H58" i="7"/>
  <c r="G38" i="7"/>
  <c r="T38" i="7" s="1"/>
  <c r="R66" i="7"/>
  <c r="H73" i="7"/>
  <c r="H72" i="7"/>
  <c r="M73" i="7"/>
  <c r="M71" i="7"/>
  <c r="H71" i="7"/>
  <c r="R106" i="7"/>
  <c r="N110" i="7" s="1"/>
  <c r="O110" i="7"/>
  <c r="J110" i="7"/>
  <c r="T14" i="7"/>
  <c r="J53" i="7"/>
  <c r="M148" i="7"/>
  <c r="H128" i="7"/>
  <c r="J128" i="7"/>
  <c r="D71" i="7"/>
  <c r="E71" i="7" s="1"/>
  <c r="D73" i="7"/>
  <c r="E73" i="7" s="1"/>
  <c r="D72" i="7"/>
  <c r="E72" i="7" s="1"/>
  <c r="R29" i="7"/>
  <c r="M34" i="7" s="1"/>
  <c r="N128" i="7"/>
  <c r="H38" i="7"/>
  <c r="H53" i="7"/>
  <c r="L110" i="7"/>
  <c r="P110" i="7" s="1"/>
  <c r="I20" i="7"/>
  <c r="F54" i="7"/>
  <c r="H19" i="7"/>
  <c r="I33" i="7"/>
  <c r="H110" i="7"/>
  <c r="O16" i="6"/>
  <c r="O15" i="6"/>
  <c r="O14" i="6"/>
  <c r="J90" i="6"/>
  <c r="K174" i="6"/>
  <c r="F167" i="6"/>
  <c r="T167" i="6" s="1"/>
  <c r="K172" i="6"/>
  <c r="K169" i="6"/>
  <c r="F173" i="6"/>
  <c r="T173" i="6" s="1"/>
  <c r="F171" i="6"/>
  <c r="T171" i="6" s="1"/>
  <c r="F168" i="6"/>
  <c r="T168" i="6" s="1"/>
  <c r="K167" i="6"/>
  <c r="F166" i="6"/>
  <c r="F174" i="6"/>
  <c r="T174" i="6" s="1"/>
  <c r="K173" i="6"/>
  <c r="K171" i="6"/>
  <c r="K168" i="6"/>
  <c r="K166" i="6"/>
  <c r="F172" i="6"/>
  <c r="T172" i="6" s="1"/>
  <c r="F169" i="6"/>
  <c r="T169" i="6" s="1"/>
  <c r="F112" i="6"/>
  <c r="Q11" i="6"/>
  <c r="I14" i="6" s="1"/>
  <c r="J15" i="6"/>
  <c r="J14" i="6"/>
  <c r="J16" i="6"/>
  <c r="I16" i="6"/>
  <c r="F38" i="6"/>
  <c r="T38" i="6" s="1"/>
  <c r="F35" i="6"/>
  <c r="T35" i="6" s="1"/>
  <c r="K40" i="6"/>
  <c r="K36" i="6"/>
  <c r="F41" i="6"/>
  <c r="T41" i="6" s="1"/>
  <c r="F39" i="6"/>
  <c r="T39" i="6" s="1"/>
  <c r="K38" i="6"/>
  <c r="K35" i="6"/>
  <c r="F40" i="6"/>
  <c r="T40" i="6" s="1"/>
  <c r="F36" i="6"/>
  <c r="T36" i="6" s="1"/>
  <c r="F34" i="6"/>
  <c r="T34" i="6" s="1"/>
  <c r="K34" i="6"/>
  <c r="K41" i="6"/>
  <c r="K39" i="6"/>
  <c r="H55" i="6"/>
  <c r="H52" i="6"/>
  <c r="L139" i="6"/>
  <c r="R87" i="6"/>
  <c r="O93" i="6"/>
  <c r="O91" i="6"/>
  <c r="J93" i="6"/>
  <c r="O90" i="6"/>
  <c r="M90" i="6"/>
  <c r="R11" i="6"/>
  <c r="N44" i="6"/>
  <c r="N120" i="6"/>
  <c r="F150" i="6"/>
  <c r="T150" i="6" s="1"/>
  <c r="K149" i="6"/>
  <c r="F148" i="6"/>
  <c r="T148" i="6" s="1"/>
  <c r="K152" i="6"/>
  <c r="K155" i="6"/>
  <c r="K153" i="6"/>
  <c r="F155" i="6"/>
  <c r="T155" i="6" s="1"/>
  <c r="F154" i="6"/>
  <c r="T154" i="6" s="1"/>
  <c r="K150" i="6"/>
  <c r="F152" i="6"/>
  <c r="T152" i="6" s="1"/>
  <c r="K148" i="6"/>
  <c r="F147" i="6"/>
  <c r="F149" i="6"/>
  <c r="T149" i="6" s="1"/>
  <c r="F153" i="6"/>
  <c r="T153" i="6" s="1"/>
  <c r="K147" i="6"/>
  <c r="K154" i="6"/>
  <c r="U164" i="6"/>
  <c r="L177" i="6"/>
  <c r="R104" i="6"/>
  <c r="F93" i="6"/>
  <c r="M91" i="6"/>
  <c r="N6" i="6"/>
  <c r="I55" i="6"/>
  <c r="I52" i="6"/>
  <c r="L44" i="6"/>
  <c r="I72" i="6"/>
  <c r="I71" i="6"/>
  <c r="F90" i="6"/>
  <c r="D90" i="6"/>
  <c r="E90" i="6" s="1"/>
  <c r="D93" i="6"/>
  <c r="E93" i="6" s="1"/>
  <c r="D91" i="6"/>
  <c r="E91" i="6" s="1"/>
  <c r="D185" i="7"/>
  <c r="E185" i="7" s="1"/>
  <c r="D186" i="7"/>
  <c r="E186" i="7" s="1"/>
  <c r="R180" i="7"/>
  <c r="M186" i="7"/>
  <c r="M185" i="7"/>
  <c r="H185" i="7"/>
  <c r="F186" i="7"/>
  <c r="H186" i="7"/>
  <c r="S179" i="7"/>
  <c r="T179" i="7"/>
  <c r="U180" i="7" s="1"/>
  <c r="P179" i="7"/>
  <c r="Q180" i="7" s="1"/>
  <c r="T180" i="7"/>
  <c r="P180" i="7"/>
  <c r="S181" i="7"/>
  <c r="V181" i="7" s="1"/>
  <c r="T181" i="7"/>
  <c r="P181" i="7"/>
  <c r="S160" i="7"/>
  <c r="P160" i="7"/>
  <c r="T160" i="7"/>
  <c r="U161" i="7" s="1"/>
  <c r="T162" i="7"/>
  <c r="P162" i="7"/>
  <c r="F174" i="7"/>
  <c r="T174" i="7" s="1"/>
  <c r="F172" i="7"/>
  <c r="T172" i="7" s="1"/>
  <c r="K171" i="7"/>
  <c r="K168" i="7"/>
  <c r="F169" i="7"/>
  <c r="T169" i="7" s="1"/>
  <c r="K166" i="7"/>
  <c r="F167" i="7"/>
  <c r="K174" i="7"/>
  <c r="K172" i="7"/>
  <c r="F173" i="7"/>
  <c r="T173" i="7" s="1"/>
  <c r="K169" i="7"/>
  <c r="F171" i="7"/>
  <c r="T171" i="7" s="1"/>
  <c r="F168" i="7"/>
  <c r="T168" i="7" s="1"/>
  <c r="F166" i="7"/>
  <c r="T166" i="7" s="1"/>
  <c r="K173" i="7"/>
  <c r="S141" i="7"/>
  <c r="T141" i="7"/>
  <c r="U142" i="7" s="1"/>
  <c r="P141" i="7"/>
  <c r="Q142" i="7" s="1"/>
  <c r="S143" i="7"/>
  <c r="V143" i="7" s="1"/>
  <c r="T143" i="7"/>
  <c r="P143" i="7"/>
  <c r="S144" i="7"/>
  <c r="V144" i="7" s="1"/>
  <c r="T144" i="7"/>
  <c r="P144" i="7"/>
  <c r="S142" i="7"/>
  <c r="V142" i="7" s="1"/>
  <c r="P142" i="7"/>
  <c r="T142" i="7"/>
  <c r="S123" i="7"/>
  <c r="V123" i="7" s="1"/>
  <c r="P123" i="7"/>
  <c r="T123" i="7"/>
  <c r="S124" i="7"/>
  <c r="V124" i="7" s="1"/>
  <c r="T124" i="7"/>
  <c r="P124" i="7"/>
  <c r="R123" i="7"/>
  <c r="S122" i="7"/>
  <c r="T122" i="7"/>
  <c r="U123" i="7" s="1"/>
  <c r="P122" i="7"/>
  <c r="Q123" i="7" s="1"/>
  <c r="T106" i="7"/>
  <c r="P106" i="7"/>
  <c r="S107" i="7"/>
  <c r="V107" i="7" s="1"/>
  <c r="P107" i="7"/>
  <c r="T107" i="7"/>
  <c r="S106" i="7"/>
  <c r="V106" i="7" s="1"/>
  <c r="S104" i="7"/>
  <c r="V104" i="7" s="1"/>
  <c r="P104" i="7"/>
  <c r="T104" i="7"/>
  <c r="S105" i="7"/>
  <c r="T105" i="7"/>
  <c r="P105" i="7"/>
  <c r="T85" i="7"/>
  <c r="P85" i="7"/>
  <c r="S85" i="7"/>
  <c r="V85" i="7" s="1"/>
  <c r="S86" i="7"/>
  <c r="V86" i="7" s="1"/>
  <c r="P86" i="7"/>
  <c r="T86" i="7"/>
  <c r="S87" i="7"/>
  <c r="V87" i="7" s="1"/>
  <c r="T87" i="7"/>
  <c r="P87" i="7"/>
  <c r="S65" i="7"/>
  <c r="P65" i="7"/>
  <c r="Q66" i="7" s="1"/>
  <c r="T65" i="7"/>
  <c r="U66" i="7" s="1"/>
  <c r="S67" i="7"/>
  <c r="V67" i="7" s="1"/>
  <c r="T67" i="7"/>
  <c r="P67" i="7"/>
  <c r="S66" i="7"/>
  <c r="V66" i="7" s="1"/>
  <c r="T66" i="7"/>
  <c r="P66" i="7"/>
  <c r="F71" i="7"/>
  <c r="F74" i="7"/>
  <c r="T74" i="7" s="1"/>
  <c r="K78" i="7"/>
  <c r="F79" i="7"/>
  <c r="T79" i="7" s="1"/>
  <c r="F77" i="7"/>
  <c r="T77" i="7" s="1"/>
  <c r="K76" i="7"/>
  <c r="F72" i="7"/>
  <c r="K79" i="7"/>
  <c r="K77" i="7"/>
  <c r="F78" i="7"/>
  <c r="T78" i="7" s="1"/>
  <c r="K74" i="7"/>
  <c r="F76" i="7"/>
  <c r="T76" i="7" s="1"/>
  <c r="F73" i="7"/>
  <c r="S46" i="7"/>
  <c r="P46" i="7"/>
  <c r="Q47" i="7" s="1"/>
  <c r="T46" i="7"/>
  <c r="U47" i="7" s="1"/>
  <c r="G58" i="7" s="1"/>
  <c r="T58" i="7" s="1"/>
  <c r="S48" i="7"/>
  <c r="V48" i="7" s="1"/>
  <c r="M58" i="7" s="1"/>
  <c r="P48" i="7"/>
  <c r="T48" i="7"/>
  <c r="S47" i="7"/>
  <c r="V47" i="7" s="1"/>
  <c r="T47" i="7"/>
  <c r="P47" i="7"/>
  <c r="V8" i="7"/>
  <c r="R28" i="7"/>
  <c r="L34" i="7" s="1"/>
  <c r="V27" i="7"/>
  <c r="D38" i="7"/>
  <c r="E38" i="7" s="1"/>
  <c r="D39" i="7"/>
  <c r="E39" i="7" s="1"/>
  <c r="D34" i="7"/>
  <c r="E34" i="7" s="1"/>
  <c r="D33" i="7"/>
  <c r="E33" i="7" s="1"/>
  <c r="S28" i="7"/>
  <c r="V28" i="7" s="1"/>
  <c r="L39" i="7" s="1"/>
  <c r="T28" i="7"/>
  <c r="P28" i="7"/>
  <c r="S29" i="7"/>
  <c r="V29" i="7" s="1"/>
  <c r="M38" i="7" s="1"/>
  <c r="T29" i="7"/>
  <c r="P29" i="7"/>
  <c r="V182" i="7"/>
  <c r="R8" i="7"/>
  <c r="D15" i="7"/>
  <c r="E15" i="7" s="1"/>
  <c r="D20" i="7"/>
  <c r="E20" i="7" s="1"/>
  <c r="D19" i="7"/>
  <c r="E19" i="7" s="1"/>
  <c r="D14" i="7"/>
  <c r="E14" i="7" s="1"/>
  <c r="S10" i="7"/>
  <c r="V10" i="7" s="1"/>
  <c r="M20" i="7" s="1"/>
  <c r="T10" i="7"/>
  <c r="P10" i="7"/>
  <c r="S9" i="7"/>
  <c r="V9" i="7" s="1"/>
  <c r="T9" i="7"/>
  <c r="P9" i="7"/>
  <c r="R9" i="7"/>
  <c r="L15" i="7" s="1"/>
  <c r="P15" i="7" s="1"/>
  <c r="V105" i="7"/>
  <c r="N177" i="6"/>
  <c r="L120" i="6"/>
  <c r="V104" i="6"/>
  <c r="R105" i="6"/>
  <c r="M112" i="6" s="1"/>
  <c r="S105" i="6"/>
  <c r="V105" i="6" s="1"/>
  <c r="P105" i="6"/>
  <c r="T105" i="6"/>
  <c r="P104" i="6"/>
  <c r="T104" i="6"/>
  <c r="S103" i="6"/>
  <c r="T103" i="6"/>
  <c r="U104" i="6" s="1"/>
  <c r="P103" i="6"/>
  <c r="Q104" i="6" s="1"/>
  <c r="S86" i="6"/>
  <c r="V86" i="6" s="1"/>
  <c r="T86" i="6"/>
  <c r="P86" i="6"/>
  <c r="S85" i="6"/>
  <c r="V85" i="6" s="1"/>
  <c r="T85" i="6"/>
  <c r="P85" i="6"/>
  <c r="S84" i="6"/>
  <c r="P84" i="6"/>
  <c r="Q85" i="6" s="1"/>
  <c r="T84" i="6"/>
  <c r="U85" i="6" s="1"/>
  <c r="R85" i="6"/>
  <c r="U144" i="6"/>
  <c r="R163" i="6"/>
  <c r="O123" i="6"/>
  <c r="U181" i="6"/>
  <c r="U125" i="6"/>
  <c r="O163" i="6"/>
  <c r="S163" i="6" s="1"/>
  <c r="V163" i="6" s="1"/>
  <c r="O125" i="6"/>
  <c r="S125" i="6" s="1"/>
  <c r="V125" i="6" s="1"/>
  <c r="Q122" i="6"/>
  <c r="D129" i="6" s="1"/>
  <c r="E129" i="6" s="1"/>
  <c r="O124" i="6"/>
  <c r="Q182" i="6"/>
  <c r="O122" i="6"/>
  <c r="Q179" i="6"/>
  <c r="D185" i="6" s="1"/>
  <c r="E185" i="6" s="1"/>
  <c r="O69" i="6"/>
  <c r="Q124" i="6"/>
  <c r="H129" i="6" s="1"/>
  <c r="Q125" i="6"/>
  <c r="O126" i="6"/>
  <c r="S126" i="6" s="1"/>
  <c r="V126" i="6" s="1"/>
  <c r="Q65" i="6"/>
  <c r="U67" i="6"/>
  <c r="V66" i="6" s="1"/>
  <c r="U122" i="6"/>
  <c r="L25" i="6"/>
  <c r="S69" i="6"/>
  <c r="V69" i="6" s="1"/>
  <c r="O12" i="6"/>
  <c r="S12" i="6" s="1"/>
  <c r="V12" i="6" s="1"/>
  <c r="N63" i="6"/>
  <c r="Q69" i="6"/>
  <c r="J71" i="6" s="1"/>
  <c r="U124" i="6"/>
  <c r="Q126" i="6"/>
  <c r="J129" i="6" s="1"/>
  <c r="O183" i="6"/>
  <c r="S183" i="6" s="1"/>
  <c r="V183" i="6" s="1"/>
  <c r="N48" i="6"/>
  <c r="R48" i="6" s="1"/>
  <c r="M55" i="6" s="1"/>
  <c r="Q67" i="6"/>
  <c r="Q29" i="6"/>
  <c r="Q50" i="6"/>
  <c r="J55" i="6" s="1"/>
  <c r="N68" i="6"/>
  <c r="R68" i="6" s="1"/>
  <c r="N72" i="6" s="1"/>
  <c r="U142" i="6"/>
  <c r="U161" i="6"/>
  <c r="Q181" i="6"/>
  <c r="H185" i="6" s="1"/>
  <c r="Q163" i="6"/>
  <c r="N166" i="6" s="1"/>
  <c r="O180" i="6"/>
  <c r="Q183" i="6"/>
  <c r="R183" i="6"/>
  <c r="Q144" i="6"/>
  <c r="I147" i="6" s="1"/>
  <c r="Q160" i="6"/>
  <c r="D166" i="6" s="1"/>
  <c r="E166" i="6" s="1"/>
  <c r="N65" i="6"/>
  <c r="O65" i="6" s="1"/>
  <c r="T66" i="6"/>
  <c r="L63" i="6"/>
  <c r="P66" i="6"/>
  <c r="O68" i="6"/>
  <c r="U68" i="6"/>
  <c r="N67" i="6"/>
  <c r="R67" i="6" s="1"/>
  <c r="N161" i="6"/>
  <c r="O161" i="6" s="1"/>
  <c r="U163" i="6"/>
  <c r="Q161" i="6"/>
  <c r="Q162" i="6"/>
  <c r="H166" i="6" s="1"/>
  <c r="O160" i="6"/>
  <c r="S160" i="6" s="1"/>
  <c r="S142" i="6"/>
  <c r="T142" i="6"/>
  <c r="P142" i="6"/>
  <c r="Q142" i="6"/>
  <c r="Q143" i="6"/>
  <c r="H147" i="6" s="1"/>
  <c r="O144" i="6"/>
  <c r="S144" i="6" s="1"/>
  <c r="Q141" i="6"/>
  <c r="D147" i="6" s="1"/>
  <c r="E147" i="6" s="1"/>
  <c r="T46" i="6"/>
  <c r="U47" i="6" s="1"/>
  <c r="P46" i="6"/>
  <c r="Q47" i="6" s="1"/>
  <c r="R46" i="6" s="1"/>
  <c r="O49" i="6"/>
  <c r="S49" i="6" s="1"/>
  <c r="V49" i="6" s="1"/>
  <c r="Q46" i="6"/>
  <c r="U46" i="6"/>
  <c r="N28" i="6"/>
  <c r="U30" i="6"/>
  <c r="N27" i="6"/>
  <c r="O27" i="6" s="1"/>
  <c r="S27" i="6" s="1"/>
  <c r="S30" i="6"/>
  <c r="U8" i="6"/>
  <c r="N8" i="6"/>
  <c r="L6" i="6"/>
  <c r="N9" i="6"/>
  <c r="O9" i="6" s="1"/>
  <c r="U179" i="6"/>
  <c r="O181" i="6"/>
  <c r="S181" i="6" s="1"/>
  <c r="U182" i="6"/>
  <c r="O179" i="6"/>
  <c r="O182" i="6"/>
  <c r="S182" i="6" s="1"/>
  <c r="V182" i="6" s="1"/>
  <c r="U162" i="6"/>
  <c r="O164" i="6"/>
  <c r="S164" i="6" s="1"/>
  <c r="V164" i="6" s="1"/>
  <c r="U160" i="6"/>
  <c r="O162" i="6"/>
  <c r="S161" i="6"/>
  <c r="R164" i="6"/>
  <c r="O166" i="6" s="1"/>
  <c r="U143" i="6"/>
  <c r="O145" i="6"/>
  <c r="S145" i="6" s="1"/>
  <c r="V145" i="6" s="1"/>
  <c r="O143" i="6"/>
  <c r="S143" i="6" s="1"/>
  <c r="V143" i="6" s="1"/>
  <c r="R145" i="6"/>
  <c r="U141" i="6"/>
  <c r="Q145" i="6"/>
  <c r="J147" i="6" s="1"/>
  <c r="O141" i="6"/>
  <c r="S141" i="6" s="1"/>
  <c r="U145" i="6"/>
  <c r="U65" i="6"/>
  <c r="R69" i="6"/>
  <c r="O47" i="6"/>
  <c r="R49" i="6"/>
  <c r="N52" i="6" s="1"/>
  <c r="S46" i="6"/>
  <c r="U48" i="6"/>
  <c r="O50" i="6"/>
  <c r="S50" i="6" s="1"/>
  <c r="V50" i="6" s="1"/>
  <c r="R47" i="6"/>
  <c r="O48" i="6"/>
  <c r="Q27" i="6"/>
  <c r="D33" i="6" s="1"/>
  <c r="E33" i="6" s="1"/>
  <c r="U31" i="6"/>
  <c r="Q30" i="6"/>
  <c r="I33" i="6" s="1"/>
  <c r="U29" i="6"/>
  <c r="O31" i="6"/>
  <c r="S31" i="6" s="1"/>
  <c r="V31" i="6" s="1"/>
  <c r="U27" i="6"/>
  <c r="R28" i="6"/>
  <c r="O29" i="6"/>
  <c r="S29" i="6" s="1"/>
  <c r="V29" i="6" s="1"/>
  <c r="Q31" i="6"/>
  <c r="O28" i="6"/>
  <c r="R31" i="6"/>
  <c r="R10" i="6"/>
  <c r="Q10" i="6"/>
  <c r="H15" i="6" s="1"/>
  <c r="Q8" i="6"/>
  <c r="U12" i="6"/>
  <c r="U10" i="6"/>
  <c r="O11" i="6"/>
  <c r="S11" i="6" s="1"/>
  <c r="O10" i="6"/>
  <c r="U11" i="6"/>
  <c r="D79" i="5"/>
  <c r="D78" i="5"/>
  <c r="D77" i="5"/>
  <c r="D76" i="5"/>
  <c r="D74" i="5"/>
  <c r="D72" i="5"/>
  <c r="M69" i="5"/>
  <c r="L69" i="5"/>
  <c r="U69" i="5" s="1"/>
  <c r="M68" i="5"/>
  <c r="L68" i="5"/>
  <c r="N68" i="5" s="1"/>
  <c r="O68" i="5" s="1"/>
  <c r="S68" i="5" s="1"/>
  <c r="V68" i="5" s="1"/>
  <c r="M67" i="5"/>
  <c r="L67" i="5"/>
  <c r="M66" i="5"/>
  <c r="L66" i="5"/>
  <c r="N66" i="5" s="1"/>
  <c r="T65" i="5"/>
  <c r="P65" i="5"/>
  <c r="N65" i="5"/>
  <c r="M65" i="5"/>
  <c r="L65" i="5"/>
  <c r="N63" i="5"/>
  <c r="D98" i="5"/>
  <c r="D97" i="5"/>
  <c r="D96" i="5"/>
  <c r="D93" i="5"/>
  <c r="D92" i="5"/>
  <c r="D91" i="5"/>
  <c r="T88" i="5"/>
  <c r="P88" i="5"/>
  <c r="N88" i="5"/>
  <c r="R88" i="5" s="1"/>
  <c r="M88" i="5"/>
  <c r="L88" i="5"/>
  <c r="U88" i="5" s="1"/>
  <c r="T87" i="5"/>
  <c r="P87" i="5"/>
  <c r="N87" i="5"/>
  <c r="M87" i="5"/>
  <c r="L87" i="5"/>
  <c r="T86" i="5"/>
  <c r="P86" i="5"/>
  <c r="N86" i="5"/>
  <c r="M86" i="5"/>
  <c r="L86" i="5"/>
  <c r="M85" i="5"/>
  <c r="L85" i="5"/>
  <c r="N85" i="5" s="1"/>
  <c r="M84" i="5"/>
  <c r="L84" i="5"/>
  <c r="N84" i="5" s="1"/>
  <c r="D60" i="5"/>
  <c r="D59" i="5"/>
  <c r="D58" i="5"/>
  <c r="D57" i="5"/>
  <c r="D55" i="5"/>
  <c r="D53" i="5"/>
  <c r="M50" i="5"/>
  <c r="L50" i="5"/>
  <c r="U50" i="5" s="1"/>
  <c r="M49" i="5"/>
  <c r="L49" i="5"/>
  <c r="N49" i="5" s="1"/>
  <c r="M48" i="5"/>
  <c r="L48" i="5"/>
  <c r="N48" i="5" s="1"/>
  <c r="M47" i="5"/>
  <c r="L47" i="5"/>
  <c r="N47" i="5" s="1"/>
  <c r="T46" i="5"/>
  <c r="P46" i="5"/>
  <c r="N46" i="5"/>
  <c r="M46" i="5"/>
  <c r="L46" i="5"/>
  <c r="N44" i="5"/>
  <c r="L58" i="8" l="1"/>
  <c r="M58" i="8"/>
  <c r="L193" i="8"/>
  <c r="G193" i="8"/>
  <c r="T193" i="8" s="1"/>
  <c r="G192" i="8"/>
  <c r="T192" i="8" s="1"/>
  <c r="L192" i="8"/>
  <c r="M174" i="8"/>
  <c r="L169" i="8"/>
  <c r="P169" i="8" s="1"/>
  <c r="L174" i="8"/>
  <c r="G190" i="8"/>
  <c r="T190" i="8" s="1"/>
  <c r="L190" i="8"/>
  <c r="V179" i="8"/>
  <c r="K193" i="8" s="1"/>
  <c r="Q176" i="8"/>
  <c r="Q180" i="8"/>
  <c r="P171" i="8"/>
  <c r="Q157" i="8"/>
  <c r="T143" i="8"/>
  <c r="P66" i="8"/>
  <c r="T66" i="8"/>
  <c r="P76" i="8"/>
  <c r="P52" i="8"/>
  <c r="N128" i="8"/>
  <c r="P143" i="8"/>
  <c r="M33" i="8"/>
  <c r="P33" i="8" s="1"/>
  <c r="P14" i="8"/>
  <c r="N38" i="8"/>
  <c r="N205" i="8"/>
  <c r="P110" i="8"/>
  <c r="P71" i="8"/>
  <c r="L93" i="8"/>
  <c r="P93" i="8" s="1"/>
  <c r="Q138" i="8"/>
  <c r="R122" i="8"/>
  <c r="L129" i="8"/>
  <c r="L128" i="8"/>
  <c r="G129" i="8"/>
  <c r="T129" i="8" s="1"/>
  <c r="G128" i="8"/>
  <c r="T128" i="8" s="1"/>
  <c r="L36" i="8"/>
  <c r="P36" i="8" s="1"/>
  <c r="P147" i="8"/>
  <c r="M41" i="8"/>
  <c r="L204" i="8"/>
  <c r="P204" i="8" s="1"/>
  <c r="L205" i="8"/>
  <c r="L91" i="8"/>
  <c r="P91" i="8" s="1"/>
  <c r="P152" i="8"/>
  <c r="M134" i="8"/>
  <c r="Q176" i="10"/>
  <c r="L190" i="10"/>
  <c r="P190" i="10" s="1"/>
  <c r="L191" i="10"/>
  <c r="P191" i="10" s="1"/>
  <c r="V65" i="10"/>
  <c r="G77" i="10"/>
  <c r="T77" i="10" s="1"/>
  <c r="L78" i="10"/>
  <c r="G76" i="10"/>
  <c r="T76" i="10" s="1"/>
  <c r="L77" i="10"/>
  <c r="G78" i="10"/>
  <c r="T78" i="10" s="1"/>
  <c r="L76" i="10"/>
  <c r="L21" i="10"/>
  <c r="P21" i="10" s="1"/>
  <c r="L20" i="10"/>
  <c r="P20" i="10" s="1"/>
  <c r="L19" i="10"/>
  <c r="P19" i="10" s="1"/>
  <c r="L77" i="9"/>
  <c r="P77" i="9" s="1"/>
  <c r="L76" i="9"/>
  <c r="P76" i="9" s="1"/>
  <c r="L60" i="9"/>
  <c r="P60" i="9" s="1"/>
  <c r="L57" i="9"/>
  <c r="P57" i="9" s="1"/>
  <c r="L38" i="9"/>
  <c r="P38" i="9" s="1"/>
  <c r="L41" i="9"/>
  <c r="P41" i="9" s="1"/>
  <c r="Q24" i="9"/>
  <c r="L22" i="9"/>
  <c r="P22" i="9" s="1"/>
  <c r="L19" i="9"/>
  <c r="P19" i="9" s="1"/>
  <c r="Q119" i="8"/>
  <c r="G134" i="8"/>
  <c r="T134" i="8" s="1"/>
  <c r="G133" i="8"/>
  <c r="T133" i="8" s="1"/>
  <c r="P57" i="8"/>
  <c r="L41" i="8"/>
  <c r="P41" i="8" s="1"/>
  <c r="L38" i="8"/>
  <c r="L58" i="7"/>
  <c r="Q195" i="10"/>
  <c r="Q157" i="10"/>
  <c r="U161" i="10"/>
  <c r="P144" i="10"/>
  <c r="T144" i="10"/>
  <c r="S144" i="10"/>
  <c r="V144" i="10" s="1"/>
  <c r="Q119" i="10"/>
  <c r="S124" i="10"/>
  <c r="V124" i="10" s="1"/>
  <c r="T124" i="10"/>
  <c r="P124" i="10"/>
  <c r="S84" i="10"/>
  <c r="T84" i="10"/>
  <c r="U85" i="10" s="1"/>
  <c r="P84" i="10"/>
  <c r="Q85" i="10" s="1"/>
  <c r="R84" i="10" s="1"/>
  <c r="Q62" i="10"/>
  <c r="T47" i="10"/>
  <c r="P47" i="10"/>
  <c r="S47" i="10"/>
  <c r="V47" i="10" s="1"/>
  <c r="L59" i="10" s="1"/>
  <c r="P59" i="10" s="1"/>
  <c r="Q5" i="10"/>
  <c r="Q62" i="11"/>
  <c r="S86" i="11"/>
  <c r="V86" i="11" s="1"/>
  <c r="T86" i="11"/>
  <c r="P86" i="11"/>
  <c r="Q43" i="11"/>
  <c r="Q138" i="9"/>
  <c r="U142" i="9"/>
  <c r="V141" i="9"/>
  <c r="T123" i="9"/>
  <c r="P123" i="9"/>
  <c r="S123" i="9"/>
  <c r="V123" i="9" s="1"/>
  <c r="Q81" i="9"/>
  <c r="P67" i="9"/>
  <c r="T67" i="9"/>
  <c r="S67" i="9"/>
  <c r="V67" i="9" s="1"/>
  <c r="Q43" i="9"/>
  <c r="Q5" i="9"/>
  <c r="Q195" i="8"/>
  <c r="L133" i="8"/>
  <c r="L134" i="8"/>
  <c r="V122" i="8"/>
  <c r="P90" i="8"/>
  <c r="Q81" i="8"/>
  <c r="L96" i="8"/>
  <c r="L98" i="8"/>
  <c r="M98" i="8"/>
  <c r="M95" i="8"/>
  <c r="P95" i="8" s="1"/>
  <c r="M96" i="8"/>
  <c r="M114" i="8"/>
  <c r="L109" i="8"/>
  <c r="P109" i="8" s="1"/>
  <c r="L114" i="8"/>
  <c r="L115" i="8"/>
  <c r="P115" i="8" s="1"/>
  <c r="Q100" i="8"/>
  <c r="Q62" i="8"/>
  <c r="Q5" i="8"/>
  <c r="Q24" i="8"/>
  <c r="M19" i="7"/>
  <c r="L33" i="7"/>
  <c r="M39" i="7"/>
  <c r="P39" i="7" s="1"/>
  <c r="P34" i="7"/>
  <c r="L38" i="7"/>
  <c r="P38" i="7" s="1"/>
  <c r="L14" i="7"/>
  <c r="M33" i="7"/>
  <c r="Q176" i="7"/>
  <c r="N52" i="7"/>
  <c r="N53" i="7"/>
  <c r="T72" i="7"/>
  <c r="T71" i="7"/>
  <c r="R65" i="7"/>
  <c r="L73" i="7"/>
  <c r="L72" i="7"/>
  <c r="L71" i="7"/>
  <c r="G71" i="7"/>
  <c r="G72" i="7"/>
  <c r="G73" i="7"/>
  <c r="R122" i="7"/>
  <c r="K128" i="7" s="1"/>
  <c r="P128" i="7" s="1"/>
  <c r="L128" i="7"/>
  <c r="G128" i="7"/>
  <c r="T128" i="7" s="1"/>
  <c r="R46" i="7"/>
  <c r="L54" i="7"/>
  <c r="L53" i="7"/>
  <c r="G54" i="7"/>
  <c r="T54" i="7" s="1"/>
  <c r="L52" i="7"/>
  <c r="G53" i="7"/>
  <c r="T53" i="7" s="1"/>
  <c r="G52" i="7"/>
  <c r="T52" i="7" s="1"/>
  <c r="T73" i="7"/>
  <c r="P14" i="7"/>
  <c r="R141" i="7"/>
  <c r="K148" i="7" s="1"/>
  <c r="P148" i="7" s="1"/>
  <c r="L148" i="7"/>
  <c r="G148" i="7"/>
  <c r="T148" i="7" s="1"/>
  <c r="J52" i="6"/>
  <c r="V181" i="6"/>
  <c r="V30" i="6"/>
  <c r="O33" i="6"/>
  <c r="M52" i="6"/>
  <c r="M71" i="6"/>
  <c r="M72" i="6"/>
  <c r="R124" i="6"/>
  <c r="N93" i="6"/>
  <c r="N91" i="6"/>
  <c r="N90" i="6"/>
  <c r="R125" i="6"/>
  <c r="N129" i="6" s="1"/>
  <c r="O129" i="6"/>
  <c r="H16" i="6"/>
  <c r="N71" i="6"/>
  <c r="L52" i="6"/>
  <c r="L55" i="6"/>
  <c r="F136" i="6"/>
  <c r="T136" i="6" s="1"/>
  <c r="F134" i="6"/>
  <c r="T134" i="6" s="1"/>
  <c r="K133" i="6"/>
  <c r="K135" i="6"/>
  <c r="F131" i="6"/>
  <c r="T131" i="6" s="1"/>
  <c r="K130" i="6"/>
  <c r="K128" i="6"/>
  <c r="F129" i="6"/>
  <c r="K136" i="6"/>
  <c r="K134" i="6"/>
  <c r="F135" i="6"/>
  <c r="T135" i="6" s="1"/>
  <c r="K131" i="6"/>
  <c r="F133" i="6"/>
  <c r="T133" i="6" s="1"/>
  <c r="F130" i="6"/>
  <c r="T130" i="6" s="1"/>
  <c r="F128" i="6"/>
  <c r="T128" i="6" s="1"/>
  <c r="O147" i="6"/>
  <c r="R181" i="6"/>
  <c r="I129" i="6"/>
  <c r="H71" i="6"/>
  <c r="F33" i="6"/>
  <c r="G52" i="6"/>
  <c r="I185" i="6"/>
  <c r="O55" i="6"/>
  <c r="O52" i="6"/>
  <c r="O72" i="6"/>
  <c r="O71" i="6"/>
  <c r="H72" i="6"/>
  <c r="J72" i="6"/>
  <c r="G55" i="6"/>
  <c r="M14" i="6"/>
  <c r="M16" i="6"/>
  <c r="M15" i="6"/>
  <c r="F192" i="6"/>
  <c r="T192" i="6" s="1"/>
  <c r="K188" i="6"/>
  <c r="F190" i="6"/>
  <c r="T190" i="6" s="1"/>
  <c r="F187" i="6"/>
  <c r="T187" i="6" s="1"/>
  <c r="K186" i="6"/>
  <c r="F185" i="6"/>
  <c r="K193" i="6"/>
  <c r="K192" i="6"/>
  <c r="F193" i="6"/>
  <c r="T193" i="6" s="1"/>
  <c r="F191" i="6"/>
  <c r="T191" i="6" s="1"/>
  <c r="K190" i="6"/>
  <c r="K187" i="6"/>
  <c r="F188" i="6"/>
  <c r="T188" i="6" s="1"/>
  <c r="K191" i="6"/>
  <c r="F186" i="6"/>
  <c r="T186" i="6" s="1"/>
  <c r="R182" i="6"/>
  <c r="N185" i="6" s="1"/>
  <c r="O185" i="6"/>
  <c r="F76" i="6"/>
  <c r="T76" i="6" s="1"/>
  <c r="F73" i="6"/>
  <c r="T73" i="6" s="1"/>
  <c r="K78" i="6"/>
  <c r="F71" i="6"/>
  <c r="F79" i="6"/>
  <c r="T79" i="6" s="1"/>
  <c r="F77" i="6"/>
  <c r="T77" i="6" s="1"/>
  <c r="K76" i="6"/>
  <c r="K73" i="6"/>
  <c r="F78" i="6"/>
  <c r="T78" i="6" s="1"/>
  <c r="F74" i="6"/>
  <c r="T74" i="6" s="1"/>
  <c r="F72" i="6"/>
  <c r="K79" i="6"/>
  <c r="K77" i="6"/>
  <c r="K74" i="6"/>
  <c r="J185" i="6"/>
  <c r="F59" i="6"/>
  <c r="T59" i="6" s="1"/>
  <c r="F54" i="6"/>
  <c r="T54" i="6" s="1"/>
  <c r="F57" i="6"/>
  <c r="T57" i="6" s="1"/>
  <c r="K52" i="6"/>
  <c r="K59" i="6"/>
  <c r="K54" i="6"/>
  <c r="K58" i="6"/>
  <c r="F52" i="6"/>
  <c r="F60" i="6"/>
  <c r="T60" i="6" s="1"/>
  <c r="F58" i="6"/>
  <c r="T58" i="6" s="1"/>
  <c r="K57" i="6"/>
  <c r="F55" i="6"/>
  <c r="T55" i="6" s="1"/>
  <c r="F53" i="6"/>
  <c r="T53" i="6" s="1"/>
  <c r="K53" i="6"/>
  <c r="K60" i="6"/>
  <c r="K55" i="6"/>
  <c r="G166" i="6"/>
  <c r="T166" i="6" s="1"/>
  <c r="R123" i="6"/>
  <c r="M129" i="6"/>
  <c r="R84" i="6"/>
  <c r="L90" i="6"/>
  <c r="L93" i="6"/>
  <c r="L91" i="6"/>
  <c r="G91" i="6"/>
  <c r="T91" i="6" s="1"/>
  <c r="G90" i="6"/>
  <c r="T90" i="6" s="1"/>
  <c r="G93" i="6"/>
  <c r="T93" i="6" s="1"/>
  <c r="L112" i="6"/>
  <c r="G112" i="6"/>
  <c r="T112" i="6" s="1"/>
  <c r="F21" i="6"/>
  <c r="T21" i="6" s="1"/>
  <c r="K17" i="6"/>
  <c r="F14" i="6"/>
  <c r="K22" i="6"/>
  <c r="F19" i="6"/>
  <c r="T19" i="6" s="1"/>
  <c r="F16" i="6"/>
  <c r="K21" i="6"/>
  <c r="K20" i="6"/>
  <c r="F22" i="6"/>
  <c r="T22" i="6" s="1"/>
  <c r="F20" i="6"/>
  <c r="T20" i="6" s="1"/>
  <c r="K19" i="6"/>
  <c r="F15" i="6"/>
  <c r="F17" i="6"/>
  <c r="T17" i="6" s="1"/>
  <c r="I166" i="6"/>
  <c r="N14" i="6"/>
  <c r="N16" i="6"/>
  <c r="N15" i="6"/>
  <c r="J33" i="6"/>
  <c r="N55" i="6"/>
  <c r="R66" i="6"/>
  <c r="R180" i="6"/>
  <c r="M185" i="6"/>
  <c r="G147" i="6"/>
  <c r="T147" i="6" s="1"/>
  <c r="I15" i="6"/>
  <c r="H33" i="6"/>
  <c r="H14" i="6"/>
  <c r="H71" i="5"/>
  <c r="K60" i="5"/>
  <c r="K58" i="5"/>
  <c r="F59" i="5"/>
  <c r="T59" i="5" s="1"/>
  <c r="K55" i="5"/>
  <c r="F54" i="5"/>
  <c r="K53" i="5"/>
  <c r="F52" i="5"/>
  <c r="F57" i="5"/>
  <c r="T57" i="5" s="1"/>
  <c r="K59" i="5"/>
  <c r="K54" i="5"/>
  <c r="K52" i="5"/>
  <c r="F60" i="5"/>
  <c r="T60" i="5" s="1"/>
  <c r="F58" i="5"/>
  <c r="T58" i="5" s="1"/>
  <c r="K57" i="5"/>
  <c r="F55" i="5"/>
  <c r="T55" i="5" s="1"/>
  <c r="F53" i="5"/>
  <c r="T53" i="5" s="1"/>
  <c r="I71" i="5"/>
  <c r="L44" i="5"/>
  <c r="J71" i="5"/>
  <c r="J95" i="5"/>
  <c r="L63" i="5"/>
  <c r="J54" i="5"/>
  <c r="K79" i="5"/>
  <c r="K77" i="5"/>
  <c r="K72" i="5"/>
  <c r="F78" i="5"/>
  <c r="T78" i="5" s="1"/>
  <c r="K74" i="5"/>
  <c r="F73" i="5"/>
  <c r="F71" i="5"/>
  <c r="F76" i="5"/>
  <c r="T76" i="5" s="1"/>
  <c r="K78" i="5"/>
  <c r="K73" i="5"/>
  <c r="K71" i="5"/>
  <c r="F79" i="5"/>
  <c r="T79" i="5" s="1"/>
  <c r="F77" i="5"/>
  <c r="T77" i="5" s="1"/>
  <c r="K76" i="5"/>
  <c r="F72" i="5"/>
  <c r="T72" i="5" s="1"/>
  <c r="F74" i="5"/>
  <c r="T74" i="5" s="1"/>
  <c r="R179" i="7"/>
  <c r="G186" i="7"/>
  <c r="T186" i="7" s="1"/>
  <c r="G185" i="7"/>
  <c r="T185" i="7" s="1"/>
  <c r="L186" i="7"/>
  <c r="L185" i="7"/>
  <c r="V160" i="7"/>
  <c r="V179" i="7"/>
  <c r="Q81" i="7"/>
  <c r="Q138" i="7"/>
  <c r="Q161" i="7"/>
  <c r="Q157" i="7"/>
  <c r="V141" i="7"/>
  <c r="Q100" i="7"/>
  <c r="Q119" i="7"/>
  <c r="V122" i="7"/>
  <c r="Q62" i="7"/>
  <c r="V65" i="7"/>
  <c r="Q43" i="7"/>
  <c r="V46" i="7"/>
  <c r="K58" i="7" s="1"/>
  <c r="L19" i="7"/>
  <c r="P19" i="7" s="1"/>
  <c r="L20" i="7"/>
  <c r="P20" i="7" s="1"/>
  <c r="Q24" i="7"/>
  <c r="Q5" i="7"/>
  <c r="S179" i="6"/>
  <c r="P179" i="6"/>
  <c r="Q180" i="6" s="1"/>
  <c r="S180" i="6"/>
  <c r="V180" i="6" s="1"/>
  <c r="T180" i="6"/>
  <c r="T181" i="6"/>
  <c r="P180" i="6"/>
  <c r="P181" i="6"/>
  <c r="T179" i="6"/>
  <c r="U180" i="6" s="1"/>
  <c r="S124" i="6"/>
  <c r="V124" i="6" s="1"/>
  <c r="P124" i="6"/>
  <c r="T124" i="6"/>
  <c r="S123" i="6"/>
  <c r="T123" i="6"/>
  <c r="P123" i="6"/>
  <c r="S122" i="6"/>
  <c r="P122" i="6"/>
  <c r="Q123" i="6" s="1"/>
  <c r="T122" i="6"/>
  <c r="U123" i="6" s="1"/>
  <c r="T125" i="6"/>
  <c r="P125" i="6"/>
  <c r="R103" i="6"/>
  <c r="K112" i="6" s="1"/>
  <c r="P112" i="6" s="1"/>
  <c r="V103" i="6"/>
  <c r="Q100" i="6"/>
  <c r="V84" i="6"/>
  <c r="Q81" i="6"/>
  <c r="V144" i="6"/>
  <c r="Q138" i="6"/>
  <c r="V141" i="6"/>
  <c r="V161" i="6"/>
  <c r="R160" i="6"/>
  <c r="R161" i="6"/>
  <c r="L166" i="6" s="1"/>
  <c r="O67" i="6"/>
  <c r="S67" i="6" s="1"/>
  <c r="V67" i="6" s="1"/>
  <c r="R141" i="6"/>
  <c r="R29" i="6"/>
  <c r="M33" i="6" s="1"/>
  <c r="R143" i="6"/>
  <c r="M147" i="6" s="1"/>
  <c r="D16" i="6"/>
  <c r="E16" i="6" s="1"/>
  <c r="D15" i="6"/>
  <c r="E15" i="6" s="1"/>
  <c r="D14" i="6"/>
  <c r="E14" i="6" s="1"/>
  <c r="R144" i="6"/>
  <c r="N147" i="6" s="1"/>
  <c r="R162" i="6"/>
  <c r="M166" i="6" s="1"/>
  <c r="R9" i="6"/>
  <c r="V160" i="6"/>
  <c r="D72" i="6"/>
  <c r="E72" i="6" s="1"/>
  <c r="D71" i="6"/>
  <c r="E71" i="6" s="1"/>
  <c r="V123" i="6"/>
  <c r="D55" i="6"/>
  <c r="E55" i="6" s="1"/>
  <c r="D52" i="6"/>
  <c r="E52" i="6" s="1"/>
  <c r="V11" i="6"/>
  <c r="R30" i="6"/>
  <c r="N33" i="6" s="1"/>
  <c r="R142" i="6"/>
  <c r="L147" i="6" s="1"/>
  <c r="P147" i="6" s="1"/>
  <c r="S65" i="6"/>
  <c r="P65" i="6"/>
  <c r="Q66" i="6" s="1"/>
  <c r="T65" i="6"/>
  <c r="U66" i="6" s="1"/>
  <c r="S68" i="6"/>
  <c r="V68" i="6" s="1"/>
  <c r="T68" i="6"/>
  <c r="P68" i="6"/>
  <c r="S162" i="6"/>
  <c r="V162" i="6" s="1"/>
  <c r="T162" i="6"/>
  <c r="P162" i="6"/>
  <c r="T161" i="6"/>
  <c r="P161" i="6"/>
  <c r="V142" i="6"/>
  <c r="P143" i="6"/>
  <c r="T143" i="6"/>
  <c r="V46" i="6"/>
  <c r="S48" i="6"/>
  <c r="V48" i="6" s="1"/>
  <c r="T48" i="6"/>
  <c r="P48" i="6"/>
  <c r="S47" i="6"/>
  <c r="V47" i="6" s="1"/>
  <c r="P47" i="6"/>
  <c r="T47" i="6"/>
  <c r="T28" i="6"/>
  <c r="P28" i="6"/>
  <c r="S28" i="6"/>
  <c r="V28" i="6" s="1"/>
  <c r="P27" i="6"/>
  <c r="T27" i="6"/>
  <c r="U28" i="6" s="1"/>
  <c r="V27" i="6" s="1"/>
  <c r="S9" i="6"/>
  <c r="V9" i="6" s="1"/>
  <c r="T9" i="6"/>
  <c r="P9" i="6"/>
  <c r="S10" i="6"/>
  <c r="V10" i="6" s="1"/>
  <c r="P10" i="6"/>
  <c r="T10" i="6"/>
  <c r="O8" i="6"/>
  <c r="S8" i="6" s="1"/>
  <c r="O46" i="5"/>
  <c r="N69" i="5"/>
  <c r="R69" i="5" s="1"/>
  <c r="Q67" i="5"/>
  <c r="O65" i="5"/>
  <c r="S65" i="5" s="1"/>
  <c r="Q68" i="5"/>
  <c r="U66" i="5"/>
  <c r="O66" i="5"/>
  <c r="S66" i="5" s="1"/>
  <c r="T68" i="5"/>
  <c r="Q66" i="5"/>
  <c r="G73" i="5" s="1"/>
  <c r="T73" i="5" s="1"/>
  <c r="P68" i="5"/>
  <c r="N67" i="5"/>
  <c r="O67" i="5" s="1"/>
  <c r="Q65" i="5"/>
  <c r="U67" i="5"/>
  <c r="U65" i="5"/>
  <c r="R66" i="5"/>
  <c r="Q69" i="5"/>
  <c r="U68" i="5"/>
  <c r="N50" i="5"/>
  <c r="R50" i="5" s="1"/>
  <c r="O85" i="5"/>
  <c r="S85" i="5" s="1"/>
  <c r="N82" i="5"/>
  <c r="L82" i="5"/>
  <c r="U47" i="5"/>
  <c r="U49" i="5"/>
  <c r="Q47" i="5"/>
  <c r="G54" i="5" s="1"/>
  <c r="U86" i="5"/>
  <c r="H95" i="5" s="1"/>
  <c r="Q48" i="5"/>
  <c r="H54" i="5" s="1"/>
  <c r="Q87" i="5"/>
  <c r="O49" i="5"/>
  <c r="O88" i="5"/>
  <c r="S88" i="5" s="1"/>
  <c r="V88" i="5" s="1"/>
  <c r="O95" i="5" s="1"/>
  <c r="Q88" i="5"/>
  <c r="O90" i="5" s="1"/>
  <c r="Q84" i="5"/>
  <c r="U87" i="5"/>
  <c r="I95" i="5" s="1"/>
  <c r="U84" i="5"/>
  <c r="O86" i="5"/>
  <c r="S86" i="5" s="1"/>
  <c r="O84" i="5"/>
  <c r="T84" i="5" s="1"/>
  <c r="U85" i="5" s="1"/>
  <c r="G95" i="5" s="1"/>
  <c r="Q86" i="5"/>
  <c r="H90" i="5" s="1"/>
  <c r="O87" i="5"/>
  <c r="S87" i="5" s="1"/>
  <c r="V87" i="5" s="1"/>
  <c r="S46" i="5"/>
  <c r="V46" i="5" s="1"/>
  <c r="O47" i="5"/>
  <c r="S47" i="5" s="1"/>
  <c r="Q49" i="5"/>
  <c r="I52" i="5" s="1"/>
  <c r="U48" i="5"/>
  <c r="Q46" i="5"/>
  <c r="Q50" i="5"/>
  <c r="U46" i="5"/>
  <c r="O48" i="5"/>
  <c r="P58" i="8" l="1"/>
  <c r="P193" i="8"/>
  <c r="K190" i="8"/>
  <c r="P190" i="8" s="1"/>
  <c r="K192" i="8"/>
  <c r="P192" i="8" s="1"/>
  <c r="L187" i="8"/>
  <c r="G187" i="8"/>
  <c r="T187" i="8" s="1"/>
  <c r="P174" i="8"/>
  <c r="R179" i="8"/>
  <c r="L185" i="8"/>
  <c r="G185" i="8"/>
  <c r="T185" i="8" s="1"/>
  <c r="P38" i="8"/>
  <c r="P205" i="8"/>
  <c r="K129" i="8"/>
  <c r="P129" i="8" s="1"/>
  <c r="K128" i="8"/>
  <c r="P128" i="8" s="1"/>
  <c r="V160" i="10"/>
  <c r="K173" i="10" s="1"/>
  <c r="L173" i="10"/>
  <c r="G173" i="10"/>
  <c r="T173" i="10" s="1"/>
  <c r="G95" i="10"/>
  <c r="T95" i="10" s="1"/>
  <c r="L95" i="10"/>
  <c r="K76" i="10"/>
  <c r="P76" i="10" s="1"/>
  <c r="K78" i="10"/>
  <c r="P78" i="10" s="1"/>
  <c r="K77" i="10"/>
  <c r="P77" i="10" s="1"/>
  <c r="Q43" i="10"/>
  <c r="K133" i="8"/>
  <c r="P133" i="8" s="1"/>
  <c r="K134" i="8"/>
  <c r="P134" i="8" s="1"/>
  <c r="P58" i="7"/>
  <c r="Q81" i="10"/>
  <c r="V84" i="10"/>
  <c r="K95" i="10" s="1"/>
  <c r="P95" i="10" s="1"/>
  <c r="P33" i="7"/>
  <c r="Q119" i="9"/>
  <c r="P96" i="8"/>
  <c r="P98" i="8"/>
  <c r="P114" i="8"/>
  <c r="K72" i="7"/>
  <c r="P72" i="7" s="1"/>
  <c r="K73" i="7"/>
  <c r="P73" i="7" s="1"/>
  <c r="K71" i="7"/>
  <c r="P71" i="7" s="1"/>
  <c r="R160" i="7"/>
  <c r="K167" i="7" s="1"/>
  <c r="L167" i="7"/>
  <c r="G167" i="7"/>
  <c r="T167" i="7" s="1"/>
  <c r="K53" i="7"/>
  <c r="P53" i="7" s="1"/>
  <c r="K52" i="7"/>
  <c r="P52" i="7" s="1"/>
  <c r="K54" i="7"/>
  <c r="P54" i="7" s="1"/>
  <c r="T67" i="6"/>
  <c r="P55" i="6"/>
  <c r="T52" i="6"/>
  <c r="P67" i="6"/>
  <c r="P166" i="6"/>
  <c r="P52" i="6"/>
  <c r="L71" i="6"/>
  <c r="L72" i="6"/>
  <c r="G72" i="6"/>
  <c r="T72" i="6" s="1"/>
  <c r="G71" i="6"/>
  <c r="T71" i="6" s="1"/>
  <c r="K90" i="6"/>
  <c r="P90" i="6" s="1"/>
  <c r="K93" i="6"/>
  <c r="P93" i="6" s="1"/>
  <c r="K91" i="6"/>
  <c r="P91" i="6" s="1"/>
  <c r="R179" i="6"/>
  <c r="K185" i="6" s="1"/>
  <c r="L185" i="6"/>
  <c r="G185" i="6"/>
  <c r="T185" i="6" s="1"/>
  <c r="R122" i="6"/>
  <c r="K129" i="6" s="1"/>
  <c r="L129" i="6"/>
  <c r="G129" i="6"/>
  <c r="T129" i="6" s="1"/>
  <c r="J90" i="5"/>
  <c r="K96" i="5"/>
  <c r="K93" i="5"/>
  <c r="F97" i="5"/>
  <c r="T97" i="5" s="1"/>
  <c r="F95" i="5"/>
  <c r="T95" i="5" s="1"/>
  <c r="F92" i="5"/>
  <c r="T92" i="5" s="1"/>
  <c r="K91" i="5"/>
  <c r="F90" i="5"/>
  <c r="F98" i="5"/>
  <c r="T98" i="5" s="1"/>
  <c r="K97" i="5"/>
  <c r="K92" i="5"/>
  <c r="F96" i="5"/>
  <c r="T96" i="5" s="1"/>
  <c r="F93" i="5"/>
  <c r="T93" i="5" s="1"/>
  <c r="F91" i="5"/>
  <c r="T91" i="5" s="1"/>
  <c r="K98" i="5"/>
  <c r="G71" i="5"/>
  <c r="T71" i="5" s="1"/>
  <c r="G52" i="5"/>
  <c r="T52" i="5" s="1"/>
  <c r="T54" i="5"/>
  <c r="O54" i="5"/>
  <c r="O52" i="5"/>
  <c r="R86" i="5"/>
  <c r="M90" i="5" s="1"/>
  <c r="I90" i="5"/>
  <c r="N95" i="5"/>
  <c r="L54" i="5"/>
  <c r="O73" i="5"/>
  <c r="O71" i="5"/>
  <c r="L73" i="5"/>
  <c r="L71" i="5"/>
  <c r="J52" i="5"/>
  <c r="J73" i="5"/>
  <c r="I73" i="5"/>
  <c r="H52" i="5"/>
  <c r="I54" i="5"/>
  <c r="H73" i="5"/>
  <c r="K185" i="7"/>
  <c r="P185" i="7" s="1"/>
  <c r="K186" i="7"/>
  <c r="P186" i="7" s="1"/>
  <c r="Q176" i="6"/>
  <c r="V179" i="6"/>
  <c r="V122" i="6"/>
  <c r="Q119" i="6"/>
  <c r="Q157" i="6"/>
  <c r="R65" i="6"/>
  <c r="V65" i="6"/>
  <c r="Q62" i="6"/>
  <c r="Q43" i="6"/>
  <c r="Q24" i="6"/>
  <c r="Q28" i="6"/>
  <c r="P8" i="6"/>
  <c r="T8" i="6"/>
  <c r="U9" i="6" s="1"/>
  <c r="V8" i="6" s="1"/>
  <c r="O69" i="5"/>
  <c r="T69" i="5" s="1"/>
  <c r="O50" i="5"/>
  <c r="V65" i="5"/>
  <c r="R68" i="5"/>
  <c r="N73" i="5" s="1"/>
  <c r="D71" i="5"/>
  <c r="E71" i="5" s="1"/>
  <c r="D73" i="5"/>
  <c r="E73" i="5" s="1"/>
  <c r="R65" i="5"/>
  <c r="S67" i="5"/>
  <c r="V67" i="5" s="1"/>
  <c r="T67" i="5"/>
  <c r="P67" i="5"/>
  <c r="R67" i="5"/>
  <c r="M71" i="5" s="1"/>
  <c r="V66" i="5"/>
  <c r="T66" i="5"/>
  <c r="P66" i="5"/>
  <c r="S48" i="5"/>
  <c r="V48" i="5" s="1"/>
  <c r="T48" i="5"/>
  <c r="P48" i="5"/>
  <c r="R85" i="5"/>
  <c r="D90" i="5"/>
  <c r="E90" i="5" s="1"/>
  <c r="D95" i="5"/>
  <c r="E95" i="5" s="1"/>
  <c r="V86" i="5"/>
  <c r="M95" i="5" s="1"/>
  <c r="R87" i="5"/>
  <c r="N90" i="5" s="1"/>
  <c r="R49" i="5"/>
  <c r="N52" i="5" s="1"/>
  <c r="D54" i="5"/>
  <c r="E54" i="5" s="1"/>
  <c r="D52" i="5"/>
  <c r="E52" i="5" s="1"/>
  <c r="P85" i="5"/>
  <c r="V85" i="5"/>
  <c r="L95" i="5" s="1"/>
  <c r="T85" i="5"/>
  <c r="S84" i="5"/>
  <c r="V84" i="5" s="1"/>
  <c r="K95" i="5" s="1"/>
  <c r="P84" i="5"/>
  <c r="Q85" i="5" s="1"/>
  <c r="R48" i="5"/>
  <c r="M52" i="5" s="1"/>
  <c r="R47" i="5"/>
  <c r="L52" i="5" s="1"/>
  <c r="R46" i="5"/>
  <c r="S50" i="5"/>
  <c r="V50" i="5" s="1"/>
  <c r="P50" i="5"/>
  <c r="T50" i="5"/>
  <c r="S49" i="5"/>
  <c r="V49" i="5" s="1"/>
  <c r="P49" i="5"/>
  <c r="T49" i="5"/>
  <c r="T47" i="5"/>
  <c r="P47" i="5"/>
  <c r="V47" i="5"/>
  <c r="K185" i="8" l="1"/>
  <c r="P185" i="8" s="1"/>
  <c r="K187" i="8"/>
  <c r="P187" i="8" s="1"/>
  <c r="P129" i="6"/>
  <c r="P173" i="10"/>
  <c r="P167" i="7"/>
  <c r="P185" i="6"/>
  <c r="L33" i="6"/>
  <c r="G33" i="6"/>
  <c r="T33" i="6" s="1"/>
  <c r="K72" i="6"/>
  <c r="P72" i="6" s="1"/>
  <c r="K71" i="6"/>
  <c r="P71" i="6" s="1"/>
  <c r="N54" i="5"/>
  <c r="P54" i="5" s="1"/>
  <c r="M73" i="5"/>
  <c r="P73" i="5" s="1"/>
  <c r="M54" i="5"/>
  <c r="P52" i="5"/>
  <c r="P95" i="5"/>
  <c r="N71" i="5"/>
  <c r="P71" i="5" s="1"/>
  <c r="L90" i="5"/>
  <c r="G90" i="5"/>
  <c r="T90" i="5" s="1"/>
  <c r="R27" i="6"/>
  <c r="K33" i="6" s="1"/>
  <c r="Q5" i="6"/>
  <c r="Q9" i="6"/>
  <c r="P69" i="5"/>
  <c r="S69" i="5"/>
  <c r="V69" i="5" s="1"/>
  <c r="Q62" i="5"/>
  <c r="Q43" i="5"/>
  <c r="Q81" i="5"/>
  <c r="R84" i="5"/>
  <c r="K90" i="5" s="1"/>
  <c r="P33" i="6" l="1"/>
  <c r="L14" i="6"/>
  <c r="L16" i="6"/>
  <c r="L15" i="6"/>
  <c r="G16" i="6"/>
  <c r="T16" i="6" s="1"/>
  <c r="G14" i="6"/>
  <c r="T14" i="6" s="1"/>
  <c r="G15" i="6"/>
  <c r="T15" i="6" s="1"/>
  <c r="P90" i="5"/>
  <c r="R8" i="6"/>
  <c r="K16" i="6" l="1"/>
  <c r="P16" i="6" s="1"/>
  <c r="K14" i="6"/>
  <c r="P14" i="6" s="1"/>
  <c r="K15" i="6"/>
  <c r="P15" i="6" s="1"/>
  <c r="D155" i="5"/>
  <c r="D154" i="5"/>
  <c r="D150" i="5"/>
  <c r="D149" i="5"/>
  <c r="T145" i="5"/>
  <c r="P145" i="5"/>
  <c r="N145" i="5"/>
  <c r="M145" i="5"/>
  <c r="L145" i="5"/>
  <c r="U145" i="5" s="1"/>
  <c r="T144" i="5"/>
  <c r="P144" i="5"/>
  <c r="N144" i="5"/>
  <c r="M144" i="5"/>
  <c r="L144" i="5"/>
  <c r="M143" i="5"/>
  <c r="L143" i="5"/>
  <c r="M142" i="5"/>
  <c r="L142" i="5"/>
  <c r="T141" i="5"/>
  <c r="P141" i="5"/>
  <c r="N141" i="5"/>
  <c r="M141" i="5"/>
  <c r="L141" i="5"/>
  <c r="N139" i="5"/>
  <c r="D136" i="5"/>
  <c r="D135" i="5"/>
  <c r="D134" i="5"/>
  <c r="D133" i="5"/>
  <c r="D131" i="5"/>
  <c r="D129" i="5"/>
  <c r="T126" i="5"/>
  <c r="P126" i="5"/>
  <c r="N126" i="5"/>
  <c r="R126" i="5" s="1"/>
  <c r="M126" i="5"/>
  <c r="L126" i="5"/>
  <c r="U126" i="5" s="1"/>
  <c r="T125" i="5"/>
  <c r="P125" i="5"/>
  <c r="N125" i="5"/>
  <c r="M125" i="5"/>
  <c r="L125" i="5"/>
  <c r="M124" i="5"/>
  <c r="L124" i="5"/>
  <c r="M123" i="5"/>
  <c r="L123" i="5"/>
  <c r="N123" i="5" s="1"/>
  <c r="M122" i="5"/>
  <c r="L122" i="5"/>
  <c r="N122" i="5" s="1"/>
  <c r="D117" i="5"/>
  <c r="D116" i="5"/>
  <c r="D115" i="5"/>
  <c r="D114" i="5"/>
  <c r="D112" i="5"/>
  <c r="D110" i="5"/>
  <c r="T107" i="5"/>
  <c r="P107" i="5"/>
  <c r="N107" i="5"/>
  <c r="M107" i="5"/>
  <c r="L107" i="5"/>
  <c r="Q107" i="5" s="1"/>
  <c r="T106" i="5"/>
  <c r="P106" i="5"/>
  <c r="N106" i="5"/>
  <c r="M106" i="5"/>
  <c r="L106" i="5"/>
  <c r="M105" i="5"/>
  <c r="L105" i="5"/>
  <c r="N105" i="5" s="1"/>
  <c r="M104" i="5"/>
  <c r="L104" i="5"/>
  <c r="N104" i="5" s="1"/>
  <c r="M103" i="5"/>
  <c r="L103" i="5"/>
  <c r="D41" i="5"/>
  <c r="D40" i="5"/>
  <c r="D39" i="5"/>
  <c r="D36" i="5"/>
  <c r="D35" i="5"/>
  <c r="D34" i="5"/>
  <c r="T31" i="5"/>
  <c r="P31" i="5"/>
  <c r="N31" i="5"/>
  <c r="R31" i="5" s="1"/>
  <c r="M31" i="5"/>
  <c r="L31" i="5"/>
  <c r="U31" i="5" s="1"/>
  <c r="T30" i="5"/>
  <c r="P30" i="5"/>
  <c r="N30" i="5"/>
  <c r="M30" i="5"/>
  <c r="L30" i="5"/>
  <c r="M29" i="5"/>
  <c r="L29" i="5"/>
  <c r="N29" i="5" s="1"/>
  <c r="M28" i="5"/>
  <c r="L28" i="5"/>
  <c r="T27" i="5"/>
  <c r="P27" i="5"/>
  <c r="N27" i="5"/>
  <c r="M27" i="5"/>
  <c r="L27" i="5"/>
  <c r="N25" i="5"/>
  <c r="D22" i="5"/>
  <c r="D21" i="5"/>
  <c r="D20" i="5"/>
  <c r="D19" i="5"/>
  <c r="D17" i="5"/>
  <c r="T12" i="5"/>
  <c r="P12" i="5"/>
  <c r="N12" i="5"/>
  <c r="R12" i="5" s="1"/>
  <c r="M12" i="5"/>
  <c r="L12" i="5"/>
  <c r="U12" i="5" s="1"/>
  <c r="M11" i="5"/>
  <c r="L11" i="5"/>
  <c r="N11" i="5" s="1"/>
  <c r="M10" i="5"/>
  <c r="L10" i="5"/>
  <c r="N10" i="5" s="1"/>
  <c r="O10" i="5" s="1"/>
  <c r="M9" i="5"/>
  <c r="L9" i="5"/>
  <c r="N9" i="5" s="1"/>
  <c r="T8" i="5"/>
  <c r="P8" i="5"/>
  <c r="N8" i="5"/>
  <c r="M8" i="5"/>
  <c r="L8" i="5"/>
  <c r="N6" i="5"/>
  <c r="D155" i="4"/>
  <c r="D154" i="4"/>
  <c r="D150" i="4"/>
  <c r="D149" i="4"/>
  <c r="T145" i="4"/>
  <c r="P145" i="4"/>
  <c r="N145" i="4"/>
  <c r="M145" i="4"/>
  <c r="L145" i="4"/>
  <c r="U145" i="4" s="1"/>
  <c r="T144" i="4"/>
  <c r="P144" i="4"/>
  <c r="N144" i="4"/>
  <c r="M144" i="4"/>
  <c r="L144" i="4"/>
  <c r="M143" i="4"/>
  <c r="L143" i="4"/>
  <c r="N143" i="4" s="1"/>
  <c r="M142" i="4"/>
  <c r="L142" i="4"/>
  <c r="T141" i="4"/>
  <c r="P141" i="4"/>
  <c r="N141" i="4"/>
  <c r="M141" i="4"/>
  <c r="L141" i="4"/>
  <c r="N139" i="4"/>
  <c r="D136" i="4"/>
  <c r="D135" i="4"/>
  <c r="D134" i="4"/>
  <c r="D131" i="4"/>
  <c r="D130" i="4"/>
  <c r="D129" i="4"/>
  <c r="T126" i="4"/>
  <c r="P126" i="4"/>
  <c r="N126" i="4"/>
  <c r="M126" i="4"/>
  <c r="L126" i="4"/>
  <c r="U126" i="4" s="1"/>
  <c r="T125" i="4"/>
  <c r="P125" i="4"/>
  <c r="N125" i="4"/>
  <c r="M125" i="4"/>
  <c r="L125" i="4"/>
  <c r="N124" i="4"/>
  <c r="M124" i="4"/>
  <c r="L124" i="4"/>
  <c r="M123" i="4"/>
  <c r="L123" i="4"/>
  <c r="M122" i="4"/>
  <c r="L122" i="4"/>
  <c r="N122" i="4" s="1"/>
  <c r="D117" i="4"/>
  <c r="D112" i="4"/>
  <c r="T107" i="4"/>
  <c r="P107" i="4"/>
  <c r="N107" i="4"/>
  <c r="R107" i="4" s="1"/>
  <c r="M107" i="4"/>
  <c r="L107" i="4"/>
  <c r="M106" i="4"/>
  <c r="L106" i="4"/>
  <c r="N106" i="4" s="1"/>
  <c r="M105" i="4"/>
  <c r="L105" i="4"/>
  <c r="M104" i="4"/>
  <c r="L104" i="4"/>
  <c r="N104" i="4" s="1"/>
  <c r="M103" i="4"/>
  <c r="L103" i="4"/>
  <c r="N103" i="4" s="1"/>
  <c r="D98" i="4"/>
  <c r="D97" i="4"/>
  <c r="D96" i="4"/>
  <c r="D95" i="4"/>
  <c r="D93" i="4"/>
  <c r="T88" i="4"/>
  <c r="P88" i="4"/>
  <c r="N88" i="4"/>
  <c r="R88" i="4" s="1"/>
  <c r="M88" i="4"/>
  <c r="L88" i="4"/>
  <c r="Q88" i="4" s="1"/>
  <c r="M87" i="4"/>
  <c r="L87" i="4"/>
  <c r="N87" i="4" s="1"/>
  <c r="M86" i="4"/>
  <c r="L86" i="4"/>
  <c r="M85" i="4"/>
  <c r="L85" i="4"/>
  <c r="M84" i="4"/>
  <c r="N82" i="4" s="1"/>
  <c r="L84" i="4"/>
  <c r="N84" i="4" s="1"/>
  <c r="O84" i="4" s="1"/>
  <c r="D79" i="4"/>
  <c r="D78" i="4"/>
  <c r="D77" i="4"/>
  <c r="D74" i="4"/>
  <c r="D73" i="4"/>
  <c r="D72" i="4"/>
  <c r="T69" i="4"/>
  <c r="P69" i="4"/>
  <c r="N69" i="4"/>
  <c r="M69" i="4"/>
  <c r="L69" i="4"/>
  <c r="U69" i="4" s="1"/>
  <c r="T68" i="4"/>
  <c r="P68" i="4"/>
  <c r="N68" i="4"/>
  <c r="M68" i="4"/>
  <c r="L68" i="4"/>
  <c r="M67" i="4"/>
  <c r="L67" i="4"/>
  <c r="N67" i="4" s="1"/>
  <c r="M66" i="4"/>
  <c r="L66" i="4"/>
  <c r="N66" i="4" s="1"/>
  <c r="T65" i="4"/>
  <c r="P65" i="4"/>
  <c r="N65" i="4"/>
  <c r="M65" i="4"/>
  <c r="L65" i="4"/>
  <c r="Q65" i="4" s="1"/>
  <c r="N63" i="4"/>
  <c r="D60" i="4"/>
  <c r="D55" i="4"/>
  <c r="T50" i="4"/>
  <c r="P50" i="4"/>
  <c r="N50" i="4"/>
  <c r="R50" i="4" s="1"/>
  <c r="M50" i="4"/>
  <c r="L50" i="4"/>
  <c r="U50" i="4" s="1"/>
  <c r="M49" i="4"/>
  <c r="L49" i="4"/>
  <c r="M48" i="4"/>
  <c r="L48" i="4"/>
  <c r="M47" i="4"/>
  <c r="L44" i="4" s="1"/>
  <c r="L47" i="4"/>
  <c r="T46" i="4"/>
  <c r="P46" i="4"/>
  <c r="N46" i="4"/>
  <c r="M46" i="4"/>
  <c r="L46" i="4"/>
  <c r="N44" i="4"/>
  <c r="D41" i="4"/>
  <c r="D40" i="4"/>
  <c r="D39" i="4"/>
  <c r="D36" i="4"/>
  <c r="D35" i="4"/>
  <c r="D34" i="4"/>
  <c r="T31" i="4"/>
  <c r="P31" i="4"/>
  <c r="N31" i="4"/>
  <c r="M31" i="4"/>
  <c r="L31" i="4"/>
  <c r="T30" i="4"/>
  <c r="P30" i="4"/>
  <c r="N30" i="4"/>
  <c r="M30" i="4"/>
  <c r="L30" i="4"/>
  <c r="M29" i="4"/>
  <c r="L29" i="4"/>
  <c r="N29" i="4" s="1"/>
  <c r="M28" i="4"/>
  <c r="L28" i="4"/>
  <c r="N28" i="4" s="1"/>
  <c r="T27" i="4"/>
  <c r="P27" i="4"/>
  <c r="N27" i="4"/>
  <c r="M27" i="4"/>
  <c r="L27" i="4"/>
  <c r="N25" i="4"/>
  <c r="D22" i="4"/>
  <c r="D17" i="4"/>
  <c r="T12" i="4"/>
  <c r="P12" i="4"/>
  <c r="N12" i="4"/>
  <c r="R12" i="4" s="1"/>
  <c r="M12" i="4"/>
  <c r="L12" i="4"/>
  <c r="U12" i="4" s="1"/>
  <c r="M11" i="4"/>
  <c r="L11" i="4"/>
  <c r="N11" i="4" s="1"/>
  <c r="M10" i="4"/>
  <c r="L10" i="4"/>
  <c r="N10" i="4" s="1"/>
  <c r="M9" i="4"/>
  <c r="L6" i="4" s="1"/>
  <c r="L9" i="4"/>
  <c r="T8" i="4"/>
  <c r="P8" i="4"/>
  <c r="N8" i="4"/>
  <c r="M8" i="4"/>
  <c r="L8" i="4"/>
  <c r="N6" i="4"/>
  <c r="F154" i="5" l="1"/>
  <c r="T154" i="5" s="1"/>
  <c r="K152" i="5"/>
  <c r="K149" i="5"/>
  <c r="K147" i="5"/>
  <c r="K154" i="5"/>
  <c r="F153" i="5"/>
  <c r="F150" i="5"/>
  <c r="T150" i="5" s="1"/>
  <c r="F155" i="5"/>
  <c r="T155" i="5" s="1"/>
  <c r="F148" i="5"/>
  <c r="K153" i="5"/>
  <c r="K150" i="5"/>
  <c r="K155" i="5"/>
  <c r="F152" i="5"/>
  <c r="F149" i="5"/>
  <c r="T149" i="5" s="1"/>
  <c r="K148" i="5"/>
  <c r="F147" i="5"/>
  <c r="J152" i="5"/>
  <c r="J153" i="5"/>
  <c r="L25" i="5"/>
  <c r="K41" i="5"/>
  <c r="K39" i="5"/>
  <c r="K36" i="5"/>
  <c r="F40" i="5"/>
  <c r="T40" i="5" s="1"/>
  <c r="F38" i="5"/>
  <c r="F35" i="5"/>
  <c r="T35" i="5" s="1"/>
  <c r="K34" i="5"/>
  <c r="F33" i="5"/>
  <c r="K40" i="5"/>
  <c r="K38" i="5"/>
  <c r="K35" i="5"/>
  <c r="K33" i="5"/>
  <c r="F41" i="5"/>
  <c r="T41" i="5" s="1"/>
  <c r="F39" i="5"/>
  <c r="T39" i="5" s="1"/>
  <c r="F36" i="5"/>
  <c r="T36" i="5" s="1"/>
  <c r="F34" i="5"/>
  <c r="T34" i="5" s="1"/>
  <c r="L6" i="5"/>
  <c r="J111" i="5"/>
  <c r="J109" i="5"/>
  <c r="K22" i="5"/>
  <c r="K20" i="5"/>
  <c r="F19" i="5"/>
  <c r="T19" i="5" s="1"/>
  <c r="F21" i="5"/>
  <c r="T21" i="5" s="1"/>
  <c r="K17" i="5"/>
  <c r="F16" i="5"/>
  <c r="K15" i="5"/>
  <c r="F14" i="5"/>
  <c r="K21" i="5"/>
  <c r="K16" i="5"/>
  <c r="K14" i="5"/>
  <c r="F22" i="5"/>
  <c r="T22" i="5" s="1"/>
  <c r="F20" i="5"/>
  <c r="T20" i="5" s="1"/>
  <c r="K19" i="5"/>
  <c r="F17" i="5"/>
  <c r="T17" i="5" s="1"/>
  <c r="F15" i="5"/>
  <c r="L139" i="5"/>
  <c r="J38" i="5"/>
  <c r="L120" i="4"/>
  <c r="U66" i="4"/>
  <c r="L101" i="4"/>
  <c r="Q9" i="4"/>
  <c r="G14" i="4" s="1"/>
  <c r="Q47" i="4"/>
  <c r="N9" i="4"/>
  <c r="D76" i="4"/>
  <c r="E76" i="4" s="1"/>
  <c r="D71" i="4"/>
  <c r="E71" i="4" s="1"/>
  <c r="R46" i="4"/>
  <c r="U65" i="4"/>
  <c r="Q103" i="4"/>
  <c r="D109" i="4" s="1"/>
  <c r="E109" i="4" s="1"/>
  <c r="U27" i="4"/>
  <c r="Q46" i="4"/>
  <c r="D52" i="4" s="1"/>
  <c r="E52" i="4" s="1"/>
  <c r="U68" i="4"/>
  <c r="U141" i="4"/>
  <c r="O91" i="4"/>
  <c r="O92" i="4"/>
  <c r="O90" i="4"/>
  <c r="D54" i="4"/>
  <c r="E54" i="4" s="1"/>
  <c r="D53" i="4"/>
  <c r="E53" i="4" s="1"/>
  <c r="K57" i="4"/>
  <c r="F53" i="4"/>
  <c r="K53" i="4"/>
  <c r="F55" i="4"/>
  <c r="T55" i="4" s="1"/>
  <c r="F60" i="4"/>
  <c r="T60" i="4" s="1"/>
  <c r="K59" i="4"/>
  <c r="F58" i="4"/>
  <c r="K55" i="4"/>
  <c r="F54" i="4"/>
  <c r="K60" i="4"/>
  <c r="K58" i="4"/>
  <c r="F57" i="4"/>
  <c r="K52" i="4"/>
  <c r="F59" i="4"/>
  <c r="K54" i="4"/>
  <c r="F52" i="4"/>
  <c r="N105" i="4"/>
  <c r="Q8" i="4"/>
  <c r="D14" i="4" s="1"/>
  <c r="E14" i="4" s="1"/>
  <c r="U46" i="4"/>
  <c r="F40" i="4"/>
  <c r="T40" i="4" s="1"/>
  <c r="F34" i="4"/>
  <c r="T34" i="4" s="1"/>
  <c r="K41" i="4"/>
  <c r="K39" i="4"/>
  <c r="K36" i="4"/>
  <c r="F35" i="4"/>
  <c r="T35" i="4" s="1"/>
  <c r="K34" i="4"/>
  <c r="F33" i="4"/>
  <c r="K40" i="4"/>
  <c r="K38" i="4"/>
  <c r="F41" i="4"/>
  <c r="T41" i="4" s="1"/>
  <c r="F39" i="4"/>
  <c r="T39" i="4" s="1"/>
  <c r="F36" i="4"/>
  <c r="T36" i="4" s="1"/>
  <c r="K35" i="4"/>
  <c r="K33" i="4"/>
  <c r="F38" i="4"/>
  <c r="Q30" i="4"/>
  <c r="I33" i="4" s="1"/>
  <c r="U49" i="4"/>
  <c r="K78" i="4"/>
  <c r="K76" i="4"/>
  <c r="K73" i="4"/>
  <c r="K71" i="4"/>
  <c r="F79" i="4"/>
  <c r="T79" i="4" s="1"/>
  <c r="F77" i="4"/>
  <c r="T77" i="4" s="1"/>
  <c r="F74" i="4"/>
  <c r="T74" i="4" s="1"/>
  <c r="K79" i="4"/>
  <c r="K77" i="4"/>
  <c r="K74" i="4"/>
  <c r="F78" i="4"/>
  <c r="T78" i="4" s="1"/>
  <c r="F76" i="4"/>
  <c r="F73" i="4"/>
  <c r="T73" i="4" s="1"/>
  <c r="K72" i="4"/>
  <c r="F71" i="4"/>
  <c r="F72" i="4"/>
  <c r="T72" i="4" s="1"/>
  <c r="N120" i="4"/>
  <c r="J152" i="4"/>
  <c r="J153" i="4"/>
  <c r="I57" i="4"/>
  <c r="I59" i="4"/>
  <c r="I58" i="4"/>
  <c r="J76" i="4"/>
  <c r="Q86" i="4"/>
  <c r="H92" i="4" s="1"/>
  <c r="U143" i="4"/>
  <c r="Q27" i="4"/>
  <c r="Q122" i="4"/>
  <c r="U103" i="4"/>
  <c r="L25" i="4"/>
  <c r="G76" i="4"/>
  <c r="G16" i="4"/>
  <c r="J21" i="4"/>
  <c r="J20" i="4"/>
  <c r="J19" i="4"/>
  <c r="H91" i="4"/>
  <c r="U122" i="4"/>
  <c r="F22" i="4"/>
  <c r="T22" i="4" s="1"/>
  <c r="K20" i="4"/>
  <c r="K17" i="4"/>
  <c r="F16" i="4"/>
  <c r="K15" i="4"/>
  <c r="F14" i="4"/>
  <c r="F21" i="4"/>
  <c r="K16" i="4"/>
  <c r="K14" i="4"/>
  <c r="K19" i="4"/>
  <c r="K22" i="4"/>
  <c r="K21" i="4"/>
  <c r="F20" i="4"/>
  <c r="F17" i="4"/>
  <c r="T17" i="4" s="1"/>
  <c r="F15" i="4"/>
  <c r="F19" i="4"/>
  <c r="O30" i="4"/>
  <c r="S30" i="4" s="1"/>
  <c r="J57" i="4"/>
  <c r="J59" i="4"/>
  <c r="J58" i="4"/>
  <c r="N101" i="4"/>
  <c r="Q141" i="4"/>
  <c r="L63" i="4"/>
  <c r="G52" i="4"/>
  <c r="G54" i="4"/>
  <c r="G53" i="4"/>
  <c r="Q66" i="4"/>
  <c r="R65" i="4" s="1"/>
  <c r="I76" i="4"/>
  <c r="J133" i="4"/>
  <c r="U8" i="4"/>
  <c r="Q50" i="4"/>
  <c r="J53" i="4" s="1"/>
  <c r="K97" i="4"/>
  <c r="F98" i="4"/>
  <c r="T98" i="4" s="1"/>
  <c r="F96" i="4"/>
  <c r="T96" i="4" s="1"/>
  <c r="K95" i="4"/>
  <c r="K98" i="4"/>
  <c r="K96" i="4"/>
  <c r="F93" i="4"/>
  <c r="T93" i="4" s="1"/>
  <c r="F97" i="4"/>
  <c r="T97" i="4" s="1"/>
  <c r="K93" i="4"/>
  <c r="F95" i="4"/>
  <c r="T95" i="4" s="1"/>
  <c r="J92" i="4"/>
  <c r="J90" i="4"/>
  <c r="J91" i="4"/>
  <c r="F154" i="4"/>
  <c r="T154" i="4" s="1"/>
  <c r="F150" i="4"/>
  <c r="T150" i="4" s="1"/>
  <c r="K152" i="4"/>
  <c r="K149" i="4"/>
  <c r="K147" i="4"/>
  <c r="F148" i="4"/>
  <c r="F155" i="4"/>
  <c r="T155" i="4" s="1"/>
  <c r="K154" i="4"/>
  <c r="K155" i="4"/>
  <c r="K153" i="4"/>
  <c r="K150" i="4"/>
  <c r="F152" i="4"/>
  <c r="F149" i="4"/>
  <c r="T149" i="4" s="1"/>
  <c r="K148" i="4"/>
  <c r="F147" i="4"/>
  <c r="F153" i="4"/>
  <c r="Q142" i="4"/>
  <c r="G147" i="4" s="1"/>
  <c r="L139" i="4"/>
  <c r="Q30" i="5"/>
  <c r="I33" i="5" s="1"/>
  <c r="L120" i="5"/>
  <c r="U107" i="5"/>
  <c r="O145" i="5"/>
  <c r="S145" i="5" s="1"/>
  <c r="V145" i="5" s="1"/>
  <c r="O152" i="5" s="1"/>
  <c r="U124" i="5"/>
  <c r="O126" i="5"/>
  <c r="S126" i="5" s="1"/>
  <c r="V126" i="5" s="1"/>
  <c r="Q145" i="5"/>
  <c r="J147" i="5" s="1"/>
  <c r="Q29" i="5"/>
  <c r="O31" i="5"/>
  <c r="S31" i="5" s="1"/>
  <c r="V31" i="5" s="1"/>
  <c r="O38" i="5" s="1"/>
  <c r="Q31" i="5"/>
  <c r="Q103" i="5"/>
  <c r="D111" i="5" s="1"/>
  <c r="E111" i="5" s="1"/>
  <c r="Q106" i="5"/>
  <c r="I111" i="5" s="1"/>
  <c r="R106" i="5"/>
  <c r="Q126" i="5"/>
  <c r="O144" i="5"/>
  <c r="S144" i="5" s="1"/>
  <c r="V144" i="5" s="1"/>
  <c r="O12" i="5"/>
  <c r="S12" i="5" s="1"/>
  <c r="V12" i="5" s="1"/>
  <c r="L101" i="5"/>
  <c r="U10" i="5"/>
  <c r="N103" i="5"/>
  <c r="O103" i="5" s="1"/>
  <c r="O107" i="5"/>
  <c r="S107" i="5" s="1"/>
  <c r="V107" i="5" s="1"/>
  <c r="Q9" i="5"/>
  <c r="G15" i="5" s="1"/>
  <c r="Q11" i="5"/>
  <c r="I16" i="5" s="1"/>
  <c r="Q12" i="5"/>
  <c r="J14" i="5" s="1"/>
  <c r="N124" i="5"/>
  <c r="O124" i="5" s="1"/>
  <c r="N120" i="5"/>
  <c r="Q125" i="5"/>
  <c r="I130" i="5" s="1"/>
  <c r="L82" i="4"/>
  <c r="U84" i="4"/>
  <c r="Q84" i="4"/>
  <c r="F92" i="4" s="1"/>
  <c r="U28" i="5"/>
  <c r="U142" i="4"/>
  <c r="U47" i="4"/>
  <c r="G58" i="4" s="1"/>
  <c r="U9" i="4"/>
  <c r="G21" i="4" s="1"/>
  <c r="N28" i="5"/>
  <c r="Q27" i="5"/>
  <c r="O123" i="5"/>
  <c r="S123" i="5" s="1"/>
  <c r="Q122" i="5"/>
  <c r="N101" i="5"/>
  <c r="U105" i="5"/>
  <c r="Q105" i="5"/>
  <c r="O104" i="5"/>
  <c r="S104" i="5" s="1"/>
  <c r="Q28" i="5"/>
  <c r="U29" i="5"/>
  <c r="T10" i="5"/>
  <c r="P10" i="5"/>
  <c r="R8" i="5"/>
  <c r="U9" i="5"/>
  <c r="O9" i="5"/>
  <c r="O8" i="5"/>
  <c r="S8" i="5" s="1"/>
  <c r="Q142" i="5"/>
  <c r="G148" i="5" s="1"/>
  <c r="U143" i="5"/>
  <c r="H152" i="5" s="1"/>
  <c r="U144" i="5"/>
  <c r="I153" i="5" s="1"/>
  <c r="Q143" i="5"/>
  <c r="H147" i="5" s="1"/>
  <c r="U142" i="5"/>
  <c r="G152" i="5" s="1"/>
  <c r="Q141" i="5"/>
  <c r="N142" i="5"/>
  <c r="O142" i="5" s="1"/>
  <c r="N143" i="5"/>
  <c r="O143" i="5" s="1"/>
  <c r="Q144" i="5"/>
  <c r="I148" i="5" s="1"/>
  <c r="U141" i="5"/>
  <c r="R145" i="5"/>
  <c r="O141" i="5"/>
  <c r="S141" i="5" s="1"/>
  <c r="U122" i="5"/>
  <c r="U125" i="5"/>
  <c r="O122" i="5"/>
  <c r="Q124" i="5"/>
  <c r="H130" i="5" s="1"/>
  <c r="O125" i="5"/>
  <c r="S125" i="5" s="1"/>
  <c r="V125" i="5" s="1"/>
  <c r="U103" i="5"/>
  <c r="O105" i="5"/>
  <c r="U106" i="5"/>
  <c r="R107" i="5"/>
  <c r="O111" i="5" s="1"/>
  <c r="O106" i="5"/>
  <c r="S106" i="5" s="1"/>
  <c r="V106" i="5" s="1"/>
  <c r="U27" i="5"/>
  <c r="O29" i="5"/>
  <c r="U30" i="5"/>
  <c r="O27" i="5"/>
  <c r="S27" i="5" s="1"/>
  <c r="R29" i="5"/>
  <c r="O30" i="5"/>
  <c r="S30" i="5" s="1"/>
  <c r="V30" i="5" s="1"/>
  <c r="O11" i="5"/>
  <c r="Q8" i="5"/>
  <c r="S10" i="5"/>
  <c r="U8" i="5"/>
  <c r="U11" i="5"/>
  <c r="Q10" i="5"/>
  <c r="H16" i="5" s="1"/>
  <c r="N142" i="4"/>
  <c r="N123" i="4"/>
  <c r="O123" i="4" s="1"/>
  <c r="P84" i="4"/>
  <c r="Q85" i="4" s="1"/>
  <c r="G91" i="4" s="1"/>
  <c r="T84" i="4"/>
  <c r="U85" i="4" s="1"/>
  <c r="N86" i="4"/>
  <c r="O86" i="4" s="1"/>
  <c r="N85" i="4"/>
  <c r="O85" i="4" s="1"/>
  <c r="N49" i="4"/>
  <c r="R49" i="4" s="1"/>
  <c r="Q49" i="4"/>
  <c r="I52" i="4" s="1"/>
  <c r="Q48" i="4"/>
  <c r="H53" i="4" s="1"/>
  <c r="N48" i="4"/>
  <c r="O48" i="4" s="1"/>
  <c r="N47" i="4"/>
  <c r="O47" i="4" s="1"/>
  <c r="Q28" i="4"/>
  <c r="G33" i="4" s="1"/>
  <c r="U28" i="4"/>
  <c r="G38" i="4" s="1"/>
  <c r="O10" i="4"/>
  <c r="O88" i="4"/>
  <c r="S88" i="4" s="1"/>
  <c r="V88" i="4" s="1"/>
  <c r="O104" i="4"/>
  <c r="S104" i="4" s="1"/>
  <c r="O87" i="4"/>
  <c r="O107" i="4"/>
  <c r="S107" i="4" s="1"/>
  <c r="V107" i="4" s="1"/>
  <c r="Q12" i="4"/>
  <c r="J14" i="4" s="1"/>
  <c r="O28" i="4"/>
  <c r="O145" i="4"/>
  <c r="S145" i="4" s="1"/>
  <c r="V145" i="4" s="1"/>
  <c r="Q11" i="4"/>
  <c r="I15" i="4" s="1"/>
  <c r="Q87" i="4"/>
  <c r="I91" i="4" s="1"/>
  <c r="Q107" i="4"/>
  <c r="J109" i="4" s="1"/>
  <c r="O125" i="4"/>
  <c r="S125" i="4" s="1"/>
  <c r="V125" i="4" s="1"/>
  <c r="U87" i="4"/>
  <c r="U88" i="4"/>
  <c r="O142" i="4"/>
  <c r="U31" i="4"/>
  <c r="J38" i="4" s="1"/>
  <c r="O8" i="4"/>
  <c r="S8" i="4" s="1"/>
  <c r="U30" i="4"/>
  <c r="I38" i="4" s="1"/>
  <c r="Q105" i="4"/>
  <c r="H109" i="4" s="1"/>
  <c r="Q144" i="4"/>
  <c r="U107" i="4"/>
  <c r="J116" i="4" s="1"/>
  <c r="Q145" i="4"/>
  <c r="J148" i="4" s="1"/>
  <c r="O11" i="4"/>
  <c r="Q67" i="4"/>
  <c r="O68" i="4"/>
  <c r="S68" i="4" s="1"/>
  <c r="V68" i="4" s="1"/>
  <c r="N76" i="4" s="1"/>
  <c r="Q124" i="4"/>
  <c r="R145" i="4"/>
  <c r="Q29" i="4"/>
  <c r="H33" i="4" s="1"/>
  <c r="Q31" i="4"/>
  <c r="J33" i="4" s="1"/>
  <c r="S87" i="4"/>
  <c r="Q106" i="4"/>
  <c r="I109" i="4" s="1"/>
  <c r="Q125" i="4"/>
  <c r="O66" i="4"/>
  <c r="O143" i="4"/>
  <c r="U144" i="4"/>
  <c r="I152" i="4" s="1"/>
  <c r="O141" i="4"/>
  <c r="S141" i="4" s="1"/>
  <c r="Q143" i="4"/>
  <c r="H147" i="4" s="1"/>
  <c r="O144" i="4"/>
  <c r="S144" i="4" s="1"/>
  <c r="V144" i="4" s="1"/>
  <c r="U124" i="4"/>
  <c r="O124" i="4"/>
  <c r="Q126" i="4"/>
  <c r="J128" i="4" s="1"/>
  <c r="O126" i="4"/>
  <c r="S126" i="4" s="1"/>
  <c r="V126" i="4" s="1"/>
  <c r="O133" i="4" s="1"/>
  <c r="U125" i="4"/>
  <c r="I133" i="4" s="1"/>
  <c r="R126" i="4"/>
  <c r="O122" i="4"/>
  <c r="U105" i="4"/>
  <c r="H114" i="4" s="1"/>
  <c r="O105" i="4"/>
  <c r="S105" i="4" s="1"/>
  <c r="U106" i="4"/>
  <c r="I116" i="4" s="1"/>
  <c r="O103" i="4"/>
  <c r="O106" i="4"/>
  <c r="S84" i="4"/>
  <c r="U86" i="4"/>
  <c r="R87" i="4"/>
  <c r="Q68" i="4"/>
  <c r="I71" i="4" s="1"/>
  <c r="U67" i="4"/>
  <c r="O69" i="4"/>
  <c r="S69" i="4" s="1"/>
  <c r="V69" i="4" s="1"/>
  <c r="O76" i="4" s="1"/>
  <c r="O67" i="4"/>
  <c r="R69" i="4"/>
  <c r="Q69" i="4"/>
  <c r="O65" i="4"/>
  <c r="S65" i="4" s="1"/>
  <c r="V65" i="4" s="1"/>
  <c r="U48" i="4"/>
  <c r="O50" i="4"/>
  <c r="S50" i="4" s="1"/>
  <c r="V50" i="4" s="1"/>
  <c r="O46" i="4"/>
  <c r="S46" i="4" s="1"/>
  <c r="U29" i="4"/>
  <c r="O31" i="4"/>
  <c r="S31" i="4" s="1"/>
  <c r="V31" i="4" s="1"/>
  <c r="O29" i="4"/>
  <c r="R31" i="4"/>
  <c r="O27" i="4"/>
  <c r="S27" i="4" s="1"/>
  <c r="U10" i="4"/>
  <c r="H20" i="4" s="1"/>
  <c r="O12" i="4"/>
  <c r="S12" i="4" s="1"/>
  <c r="V12" i="4" s="1"/>
  <c r="Q10" i="4"/>
  <c r="H16" i="4" s="1"/>
  <c r="O9" i="4"/>
  <c r="U11" i="4"/>
  <c r="I19" i="4" s="1"/>
  <c r="D20" i="4" l="1"/>
  <c r="E20" i="4" s="1"/>
  <c r="M33" i="5"/>
  <c r="O153" i="5"/>
  <c r="J15" i="5"/>
  <c r="I109" i="5"/>
  <c r="J16" i="5"/>
  <c r="G14" i="5"/>
  <c r="G16" i="5"/>
  <c r="N38" i="5"/>
  <c r="H15" i="5"/>
  <c r="I147" i="5"/>
  <c r="I128" i="5"/>
  <c r="F135" i="5"/>
  <c r="T135" i="5" s="1"/>
  <c r="K131" i="5"/>
  <c r="F130" i="5"/>
  <c r="K129" i="5"/>
  <c r="F128" i="5"/>
  <c r="F133" i="5"/>
  <c r="T133" i="5" s="1"/>
  <c r="F136" i="5"/>
  <c r="T136" i="5" s="1"/>
  <c r="K135" i="5"/>
  <c r="F134" i="5"/>
  <c r="T134" i="5" s="1"/>
  <c r="K133" i="5"/>
  <c r="F131" i="5"/>
  <c r="T131" i="5" s="1"/>
  <c r="F129" i="5"/>
  <c r="T129" i="5" s="1"/>
  <c r="K136" i="5"/>
  <c r="K134" i="5"/>
  <c r="N33" i="5"/>
  <c r="G147" i="5"/>
  <c r="T15" i="5"/>
  <c r="T14" i="5"/>
  <c r="I152" i="5"/>
  <c r="R30" i="5"/>
  <c r="O33" i="5"/>
  <c r="H109" i="5"/>
  <c r="T152" i="5"/>
  <c r="R11" i="5"/>
  <c r="O14" i="5"/>
  <c r="O16" i="5"/>
  <c r="O15" i="5"/>
  <c r="R144" i="5"/>
  <c r="N148" i="5" s="1"/>
  <c r="O148" i="5"/>
  <c r="O147" i="5"/>
  <c r="I38" i="5"/>
  <c r="T16" i="5"/>
  <c r="H111" i="5"/>
  <c r="N130" i="5"/>
  <c r="O130" i="5"/>
  <c r="O128" i="5"/>
  <c r="J128" i="5"/>
  <c r="H14" i="5"/>
  <c r="I14" i="5"/>
  <c r="G33" i="5"/>
  <c r="T33" i="5" s="1"/>
  <c r="F116" i="5"/>
  <c r="T116" i="5" s="1"/>
  <c r="K112" i="5"/>
  <c r="F111" i="5"/>
  <c r="K110" i="5"/>
  <c r="F109" i="5"/>
  <c r="F114" i="5"/>
  <c r="T114" i="5" s="1"/>
  <c r="K116" i="5"/>
  <c r="F117" i="5"/>
  <c r="T117" i="5" s="1"/>
  <c r="F115" i="5"/>
  <c r="T115" i="5" s="1"/>
  <c r="K114" i="5"/>
  <c r="F112" i="5"/>
  <c r="T112" i="5" s="1"/>
  <c r="F110" i="5"/>
  <c r="T110" i="5" s="1"/>
  <c r="K117" i="5"/>
  <c r="K115" i="5"/>
  <c r="N153" i="5"/>
  <c r="N152" i="5"/>
  <c r="N111" i="5"/>
  <c r="N109" i="5"/>
  <c r="J130" i="5"/>
  <c r="O109" i="5"/>
  <c r="H33" i="5"/>
  <c r="H148" i="5"/>
  <c r="G38" i="5"/>
  <c r="T38" i="5" s="1"/>
  <c r="J148" i="5"/>
  <c r="T148" i="5"/>
  <c r="R104" i="5"/>
  <c r="N16" i="5"/>
  <c r="N14" i="5"/>
  <c r="N15" i="5"/>
  <c r="G153" i="5"/>
  <c r="T153" i="5" s="1"/>
  <c r="M16" i="5"/>
  <c r="J33" i="5"/>
  <c r="I15" i="5"/>
  <c r="H38" i="5"/>
  <c r="H153" i="5"/>
  <c r="T147" i="5"/>
  <c r="H128" i="5"/>
  <c r="T21" i="4"/>
  <c r="T14" i="4"/>
  <c r="R105" i="4"/>
  <c r="R106" i="4"/>
  <c r="N109" i="4" s="1"/>
  <c r="D16" i="4"/>
  <c r="E16" i="4" s="1"/>
  <c r="D15" i="4"/>
  <c r="E15" i="4" s="1"/>
  <c r="G15" i="4"/>
  <c r="T15" i="4" s="1"/>
  <c r="R8" i="4"/>
  <c r="V27" i="4"/>
  <c r="R10" i="4"/>
  <c r="M14" i="4" s="1"/>
  <c r="D111" i="4"/>
  <c r="E111" i="4" s="1"/>
  <c r="D114" i="4"/>
  <c r="E114" i="4" s="1"/>
  <c r="D115" i="4"/>
  <c r="E115" i="4" s="1"/>
  <c r="D116" i="4"/>
  <c r="E116" i="4" s="1"/>
  <c r="D58" i="4"/>
  <c r="E58" i="4" s="1"/>
  <c r="I16" i="4"/>
  <c r="J110" i="4"/>
  <c r="H111" i="4"/>
  <c r="I111" i="4"/>
  <c r="D57" i="4"/>
  <c r="E57" i="4" s="1"/>
  <c r="H90" i="4"/>
  <c r="D59" i="4"/>
  <c r="E59" i="4" s="1"/>
  <c r="H115" i="4"/>
  <c r="H19" i="4"/>
  <c r="I115" i="4"/>
  <c r="D110" i="4"/>
  <c r="E110" i="4" s="1"/>
  <c r="R48" i="4"/>
  <c r="M54" i="4" s="1"/>
  <c r="T16" i="4"/>
  <c r="O21" i="4"/>
  <c r="O20" i="4"/>
  <c r="O19" i="4"/>
  <c r="O58" i="4"/>
  <c r="O57" i="4"/>
  <c r="O59" i="4"/>
  <c r="O153" i="4"/>
  <c r="O152" i="4"/>
  <c r="J115" i="4"/>
  <c r="I54" i="4"/>
  <c r="J147" i="4"/>
  <c r="G92" i="4"/>
  <c r="I20" i="4"/>
  <c r="T52" i="4"/>
  <c r="R104" i="4"/>
  <c r="M111" i="4"/>
  <c r="M110" i="4"/>
  <c r="M109" i="4"/>
  <c r="R11" i="4"/>
  <c r="N16" i="4" s="1"/>
  <c r="D19" i="4"/>
  <c r="E19" i="4" s="1"/>
  <c r="H116" i="4"/>
  <c r="H133" i="4"/>
  <c r="G59" i="4"/>
  <c r="T59" i="4" s="1"/>
  <c r="D153" i="4"/>
  <c r="E153" i="4" s="1"/>
  <c r="D147" i="4"/>
  <c r="E147" i="4" s="1"/>
  <c r="D152" i="4"/>
  <c r="E152" i="4" s="1"/>
  <c r="D148" i="4"/>
  <c r="E148" i="4" s="1"/>
  <c r="D33" i="4"/>
  <c r="E33" i="4" s="1"/>
  <c r="D38" i="4"/>
  <c r="E38" i="4" s="1"/>
  <c r="I21" i="4"/>
  <c r="T58" i="4"/>
  <c r="R141" i="4"/>
  <c r="O115" i="4"/>
  <c r="O114" i="4"/>
  <c r="O116" i="4"/>
  <c r="O16" i="4"/>
  <c r="O14" i="4"/>
  <c r="O15" i="4"/>
  <c r="R9" i="4"/>
  <c r="R68" i="4"/>
  <c r="N71" i="4" s="1"/>
  <c r="O71" i="4"/>
  <c r="R66" i="4"/>
  <c r="R85" i="4"/>
  <c r="L90" i="4" s="1"/>
  <c r="T147" i="4"/>
  <c r="O52" i="4"/>
  <c r="O54" i="4"/>
  <c r="O53" i="4"/>
  <c r="I90" i="4"/>
  <c r="I147" i="4"/>
  <c r="J54" i="4"/>
  <c r="H71" i="4"/>
  <c r="J16" i="4"/>
  <c r="J71" i="4"/>
  <c r="R124" i="4"/>
  <c r="M128" i="4" s="1"/>
  <c r="L92" i="4"/>
  <c r="F91" i="4"/>
  <c r="T91" i="4" s="1"/>
  <c r="G148" i="4"/>
  <c r="T148" i="4" s="1"/>
  <c r="R143" i="4"/>
  <c r="M148" i="4" s="1"/>
  <c r="N111" i="4"/>
  <c r="O110" i="4"/>
  <c r="O109" i="4"/>
  <c r="O111" i="4"/>
  <c r="M53" i="4"/>
  <c r="H15" i="4"/>
  <c r="I92" i="4"/>
  <c r="G57" i="4"/>
  <c r="T57" i="4" s="1"/>
  <c r="J111" i="4"/>
  <c r="K117" i="4"/>
  <c r="F116" i="4"/>
  <c r="F115" i="4"/>
  <c r="F110" i="4"/>
  <c r="F112" i="4"/>
  <c r="T112" i="4" s="1"/>
  <c r="F117" i="4"/>
  <c r="T117" i="4" s="1"/>
  <c r="K112" i="4"/>
  <c r="F109" i="4"/>
  <c r="F114" i="4"/>
  <c r="F111" i="4"/>
  <c r="H76" i="4"/>
  <c r="G71" i="4"/>
  <c r="H152" i="4"/>
  <c r="H59" i="4"/>
  <c r="V30" i="4"/>
  <c r="N38" i="4" s="1"/>
  <c r="O38" i="4"/>
  <c r="R142" i="4"/>
  <c r="L147" i="4" s="1"/>
  <c r="M147" i="4"/>
  <c r="N53" i="4"/>
  <c r="N52" i="4"/>
  <c r="N54" i="4"/>
  <c r="H148" i="4"/>
  <c r="H57" i="4"/>
  <c r="N153" i="4"/>
  <c r="N152" i="4"/>
  <c r="R123" i="4"/>
  <c r="H128" i="4"/>
  <c r="V87" i="4"/>
  <c r="R144" i="4"/>
  <c r="N148" i="4" s="1"/>
  <c r="O148" i="4"/>
  <c r="O147" i="4"/>
  <c r="N91" i="4"/>
  <c r="N92" i="4"/>
  <c r="N90" i="4"/>
  <c r="F90" i="4"/>
  <c r="G152" i="4"/>
  <c r="T152" i="4" s="1"/>
  <c r="I148" i="4"/>
  <c r="J114" i="4"/>
  <c r="T71" i="4"/>
  <c r="R29" i="4"/>
  <c r="V46" i="4"/>
  <c r="N133" i="4"/>
  <c r="V141" i="4"/>
  <c r="R30" i="4"/>
  <c r="N33" i="4" s="1"/>
  <c r="O33" i="4"/>
  <c r="O49" i="4"/>
  <c r="T49" i="4" s="1"/>
  <c r="V8" i="4"/>
  <c r="D21" i="4"/>
  <c r="E21" i="4" s="1"/>
  <c r="H110" i="4"/>
  <c r="H21" i="4"/>
  <c r="G153" i="4"/>
  <c r="T153" i="4" s="1"/>
  <c r="I153" i="4"/>
  <c r="J52" i="4"/>
  <c r="I114" i="4"/>
  <c r="I53" i="4"/>
  <c r="H38" i="4"/>
  <c r="H153" i="4"/>
  <c r="T38" i="4"/>
  <c r="T33" i="4"/>
  <c r="I14" i="4"/>
  <c r="H54" i="4"/>
  <c r="R27" i="4"/>
  <c r="R28" i="4"/>
  <c r="L33" i="4" s="1"/>
  <c r="M33" i="4"/>
  <c r="T92" i="4"/>
  <c r="G20" i="4"/>
  <c r="T20" i="4" s="1"/>
  <c r="F133" i="4"/>
  <c r="K129" i="4"/>
  <c r="F128" i="4"/>
  <c r="F130" i="4"/>
  <c r="T130" i="4" s="1"/>
  <c r="F136" i="4"/>
  <c r="T136" i="4" s="1"/>
  <c r="K135" i="4"/>
  <c r="F134" i="4"/>
  <c r="T134" i="4" s="1"/>
  <c r="F131" i="4"/>
  <c r="T131" i="4" s="1"/>
  <c r="K130" i="4"/>
  <c r="F129" i="4"/>
  <c r="T129" i="4" s="1"/>
  <c r="K136" i="4"/>
  <c r="F135" i="4"/>
  <c r="T135" i="4" s="1"/>
  <c r="K134" i="4"/>
  <c r="K131" i="4"/>
  <c r="H52" i="4"/>
  <c r="T53" i="4"/>
  <c r="R67" i="4"/>
  <c r="M71" i="4" s="1"/>
  <c r="R125" i="4"/>
  <c r="N128" i="4" s="1"/>
  <c r="O128" i="4"/>
  <c r="H14" i="4"/>
  <c r="L71" i="4"/>
  <c r="J15" i="4"/>
  <c r="G19" i="4"/>
  <c r="T19" i="4" s="1"/>
  <c r="I110" i="4"/>
  <c r="G90" i="4"/>
  <c r="T76" i="4"/>
  <c r="I128" i="4"/>
  <c r="H58" i="4"/>
  <c r="T54" i="4"/>
  <c r="V27" i="5"/>
  <c r="V123" i="5"/>
  <c r="R143" i="5"/>
  <c r="M147" i="5" s="1"/>
  <c r="R105" i="5"/>
  <c r="M111" i="5" s="1"/>
  <c r="R124" i="5"/>
  <c r="M130" i="5" s="1"/>
  <c r="R28" i="5"/>
  <c r="L33" i="5" s="1"/>
  <c r="D109" i="5"/>
  <c r="E109" i="5" s="1"/>
  <c r="R125" i="5"/>
  <c r="N128" i="5" s="1"/>
  <c r="R10" i="5"/>
  <c r="M15" i="5" s="1"/>
  <c r="R141" i="5"/>
  <c r="R9" i="5"/>
  <c r="L16" i="5" s="1"/>
  <c r="R123" i="5"/>
  <c r="D153" i="5"/>
  <c r="E153" i="5" s="1"/>
  <c r="D148" i="5"/>
  <c r="E148" i="5" s="1"/>
  <c r="D147" i="5"/>
  <c r="E147" i="5" s="1"/>
  <c r="D152" i="5"/>
  <c r="E152" i="5" s="1"/>
  <c r="V141" i="5"/>
  <c r="D14" i="5"/>
  <c r="E14" i="5" s="1"/>
  <c r="D15" i="5"/>
  <c r="E15" i="5" s="1"/>
  <c r="D16" i="5"/>
  <c r="E16" i="5" s="1"/>
  <c r="D130" i="5"/>
  <c r="E130" i="5" s="1"/>
  <c r="D128" i="5"/>
  <c r="E128" i="5" s="1"/>
  <c r="D92" i="4"/>
  <c r="E92" i="4" s="1"/>
  <c r="D91" i="4"/>
  <c r="E91" i="4" s="1"/>
  <c r="D90" i="4"/>
  <c r="E90" i="4" s="1"/>
  <c r="R84" i="4"/>
  <c r="K92" i="4" s="1"/>
  <c r="V8" i="5"/>
  <c r="V84" i="4"/>
  <c r="R27" i="5"/>
  <c r="O28" i="5"/>
  <c r="S28" i="5" s="1"/>
  <c r="V28" i="5" s="1"/>
  <c r="L38" i="5" s="1"/>
  <c r="D33" i="5"/>
  <c r="E33" i="5" s="1"/>
  <c r="D38" i="5"/>
  <c r="E38" i="5" s="1"/>
  <c r="S124" i="5"/>
  <c r="V124" i="5" s="1"/>
  <c r="T124" i="5"/>
  <c r="P124" i="5"/>
  <c r="S122" i="5"/>
  <c r="T122" i="5"/>
  <c r="U123" i="5" s="1"/>
  <c r="P122" i="5"/>
  <c r="Q123" i="5" s="1"/>
  <c r="T123" i="5"/>
  <c r="P123" i="5"/>
  <c r="S103" i="5"/>
  <c r="T103" i="5"/>
  <c r="U104" i="5" s="1"/>
  <c r="P103" i="5"/>
  <c r="Q104" i="5" s="1"/>
  <c r="V104" i="5"/>
  <c r="T104" i="5"/>
  <c r="P104" i="5"/>
  <c r="P105" i="5"/>
  <c r="T105" i="5"/>
  <c r="S105" i="5"/>
  <c r="V105" i="5" s="1"/>
  <c r="S29" i="5"/>
  <c r="V29" i="5" s="1"/>
  <c r="M38" i="5" s="1"/>
  <c r="P29" i="5"/>
  <c r="T29" i="5"/>
  <c r="S11" i="5"/>
  <c r="V11" i="5" s="1"/>
  <c r="T11" i="5"/>
  <c r="P11" i="5"/>
  <c r="S9" i="5"/>
  <c r="V9" i="5" s="1"/>
  <c r="P9" i="5"/>
  <c r="T9" i="5"/>
  <c r="S142" i="5"/>
  <c r="V142" i="5" s="1"/>
  <c r="L152" i="5" s="1"/>
  <c r="P142" i="5"/>
  <c r="T142" i="5"/>
  <c r="S143" i="5"/>
  <c r="V143" i="5" s="1"/>
  <c r="M153" i="5" s="1"/>
  <c r="T143" i="5"/>
  <c r="P143" i="5"/>
  <c r="R142" i="5"/>
  <c r="L147" i="5" s="1"/>
  <c r="V10" i="5"/>
  <c r="D133" i="4"/>
  <c r="E133" i="4" s="1"/>
  <c r="D128" i="4"/>
  <c r="E128" i="4" s="1"/>
  <c r="S142" i="4"/>
  <c r="V142" i="4" s="1"/>
  <c r="L152" i="4" s="1"/>
  <c r="T142" i="4"/>
  <c r="P142" i="4"/>
  <c r="S143" i="4"/>
  <c r="T143" i="4"/>
  <c r="P143" i="4"/>
  <c r="S123" i="4"/>
  <c r="V123" i="4" s="1"/>
  <c r="T123" i="4"/>
  <c r="P123" i="4"/>
  <c r="S124" i="4"/>
  <c r="V124" i="4" s="1"/>
  <c r="M133" i="4" s="1"/>
  <c r="P124" i="4"/>
  <c r="T124" i="4"/>
  <c r="S122" i="4"/>
  <c r="T122" i="4"/>
  <c r="U123" i="4" s="1"/>
  <c r="P122" i="4"/>
  <c r="Q123" i="4" s="1"/>
  <c r="S103" i="4"/>
  <c r="T103" i="4"/>
  <c r="U104" i="4" s="1"/>
  <c r="P103" i="4"/>
  <c r="Q104" i="4" s="1"/>
  <c r="T105" i="4"/>
  <c r="P105" i="4"/>
  <c r="T104" i="4"/>
  <c r="P104" i="4"/>
  <c r="S106" i="4"/>
  <c r="V106" i="4" s="1"/>
  <c r="N116" i="4" s="1"/>
  <c r="P106" i="4"/>
  <c r="T106" i="4"/>
  <c r="S86" i="4"/>
  <c r="V86" i="4" s="1"/>
  <c r="T86" i="4"/>
  <c r="P86" i="4"/>
  <c r="T87" i="4"/>
  <c r="P87" i="4"/>
  <c r="S85" i="4"/>
  <c r="V85" i="4" s="1"/>
  <c r="T85" i="4"/>
  <c r="P85" i="4"/>
  <c r="R86" i="4"/>
  <c r="M91" i="4" s="1"/>
  <c r="S66" i="4"/>
  <c r="V66" i="4" s="1"/>
  <c r="L76" i="4" s="1"/>
  <c r="P66" i="4"/>
  <c r="T66" i="4"/>
  <c r="S67" i="4"/>
  <c r="V67" i="4" s="1"/>
  <c r="M76" i="4" s="1"/>
  <c r="T67" i="4"/>
  <c r="P67" i="4"/>
  <c r="S47" i="4"/>
  <c r="V47" i="4" s="1"/>
  <c r="P47" i="4"/>
  <c r="T47" i="4"/>
  <c r="R47" i="4"/>
  <c r="S49" i="4"/>
  <c r="V49" i="4" s="1"/>
  <c r="N58" i="4" s="1"/>
  <c r="P49" i="4"/>
  <c r="S48" i="4"/>
  <c r="V48" i="4" s="1"/>
  <c r="M58" i="4" s="1"/>
  <c r="P48" i="4"/>
  <c r="T48" i="4"/>
  <c r="S29" i="4"/>
  <c r="V29" i="4" s="1"/>
  <c r="M38" i="4" s="1"/>
  <c r="T29" i="4"/>
  <c r="P29" i="4"/>
  <c r="S28" i="4"/>
  <c r="V28" i="4" s="1"/>
  <c r="L38" i="4" s="1"/>
  <c r="P28" i="4"/>
  <c r="T28" i="4"/>
  <c r="S9" i="4"/>
  <c r="V9" i="4" s="1"/>
  <c r="T9" i="4"/>
  <c r="P9" i="4"/>
  <c r="S10" i="4"/>
  <c r="V10" i="4" s="1"/>
  <c r="M20" i="4" s="1"/>
  <c r="T10" i="4"/>
  <c r="P10" i="4"/>
  <c r="S11" i="4"/>
  <c r="V11" i="4" s="1"/>
  <c r="N21" i="4" s="1"/>
  <c r="T11" i="4"/>
  <c r="P11" i="4"/>
  <c r="V104" i="4"/>
  <c r="V143" i="4"/>
  <c r="M152" i="4" s="1"/>
  <c r="V105" i="4"/>
  <c r="M116" i="4" s="1"/>
  <c r="P33" i="5" l="1"/>
  <c r="L15" i="5"/>
  <c r="P15" i="5" s="1"/>
  <c r="M148" i="5"/>
  <c r="P38" i="5"/>
  <c r="P16" i="5"/>
  <c r="M109" i="5"/>
  <c r="M152" i="5"/>
  <c r="P152" i="5" s="1"/>
  <c r="N147" i="5"/>
  <c r="P147" i="5" s="1"/>
  <c r="L111" i="5"/>
  <c r="L109" i="5"/>
  <c r="G111" i="5"/>
  <c r="T111" i="5" s="1"/>
  <c r="G109" i="5"/>
  <c r="T109" i="5" s="1"/>
  <c r="M14" i="5"/>
  <c r="M128" i="5"/>
  <c r="L130" i="5"/>
  <c r="L128" i="5"/>
  <c r="G130" i="5"/>
  <c r="T130" i="5" s="1"/>
  <c r="G128" i="5"/>
  <c r="T128" i="5" s="1"/>
  <c r="L153" i="5"/>
  <c r="P153" i="5" s="1"/>
  <c r="L148" i="5"/>
  <c r="P148" i="5" s="1"/>
  <c r="L14" i="5"/>
  <c r="M52" i="4"/>
  <c r="M15" i="4"/>
  <c r="Q5" i="4"/>
  <c r="N110" i="4"/>
  <c r="M115" i="4"/>
  <c r="P71" i="4"/>
  <c r="N147" i="4"/>
  <c r="P147" i="4" s="1"/>
  <c r="M16" i="4"/>
  <c r="N15" i="4"/>
  <c r="L148" i="4"/>
  <c r="P148" i="4" s="1"/>
  <c r="N14" i="4"/>
  <c r="P33" i="4"/>
  <c r="M114" i="4"/>
  <c r="N114" i="4"/>
  <c r="M19" i="4"/>
  <c r="N115" i="4"/>
  <c r="Q138" i="4"/>
  <c r="N20" i="4"/>
  <c r="K91" i="4"/>
  <c r="K90" i="4"/>
  <c r="M57" i="4"/>
  <c r="M59" i="4"/>
  <c r="P76" i="4"/>
  <c r="L59" i="4"/>
  <c r="L58" i="4"/>
  <c r="P58" i="4" s="1"/>
  <c r="L57" i="4"/>
  <c r="P152" i="4"/>
  <c r="P38" i="4"/>
  <c r="L20" i="4"/>
  <c r="L19" i="4"/>
  <c r="L21" i="4"/>
  <c r="L53" i="4"/>
  <c r="P53" i="4" s="1"/>
  <c r="L52" i="4"/>
  <c r="P52" i="4" s="1"/>
  <c r="L54" i="4"/>
  <c r="P54" i="4" s="1"/>
  <c r="N19" i="4"/>
  <c r="L114" i="4"/>
  <c r="L116" i="4"/>
  <c r="L115" i="4"/>
  <c r="G114" i="4"/>
  <c r="T114" i="4" s="1"/>
  <c r="G116" i="4"/>
  <c r="T116" i="4" s="1"/>
  <c r="G115" i="4"/>
  <c r="T115" i="4" s="1"/>
  <c r="M90" i="4"/>
  <c r="L15" i="4"/>
  <c r="L16" i="4"/>
  <c r="L14" i="4"/>
  <c r="P14" i="4" s="1"/>
  <c r="M92" i="4"/>
  <c r="P92" i="4" s="1"/>
  <c r="T90" i="4"/>
  <c r="M21" i="4"/>
  <c r="N59" i="4"/>
  <c r="L153" i="4"/>
  <c r="L109" i="4"/>
  <c r="L111" i="4"/>
  <c r="L110" i="4"/>
  <c r="G111" i="4"/>
  <c r="T111" i="4" s="1"/>
  <c r="R103" i="4"/>
  <c r="G110" i="4"/>
  <c r="T110" i="4" s="1"/>
  <c r="G109" i="4"/>
  <c r="T109" i="4" s="1"/>
  <c r="L128" i="4"/>
  <c r="G128" i="4"/>
  <c r="T128" i="4" s="1"/>
  <c r="R122" i="4"/>
  <c r="K128" i="4" s="1"/>
  <c r="N57" i="4"/>
  <c r="L91" i="4"/>
  <c r="L133" i="4"/>
  <c r="G133" i="4"/>
  <c r="T133" i="4" s="1"/>
  <c r="M153" i="4"/>
  <c r="Q81" i="4"/>
  <c r="Q119" i="5"/>
  <c r="R103" i="5"/>
  <c r="R122" i="5"/>
  <c r="V122" i="4"/>
  <c r="K133" i="4" s="1"/>
  <c r="P133" i="4" s="1"/>
  <c r="V103" i="4"/>
  <c r="T28" i="5"/>
  <c r="P28" i="5"/>
  <c r="V122" i="5"/>
  <c r="Q100" i="5"/>
  <c r="V103" i="5"/>
  <c r="Q5" i="5"/>
  <c r="Q138" i="5"/>
  <c r="Q119" i="4"/>
  <c r="Q100" i="4"/>
  <c r="Q62" i="4"/>
  <c r="Q43" i="4"/>
  <c r="Q24" i="4"/>
  <c r="P16" i="4" l="1"/>
  <c r="P14" i="5"/>
  <c r="K130" i="5"/>
  <c r="P130" i="5" s="1"/>
  <c r="K128" i="5"/>
  <c r="P128" i="5" s="1"/>
  <c r="K109" i="5"/>
  <c r="P109" i="5" s="1"/>
  <c r="K111" i="5"/>
  <c r="P111" i="5" s="1"/>
  <c r="P90" i="4"/>
  <c r="P15" i="4"/>
  <c r="P91" i="4"/>
  <c r="P19" i="4"/>
  <c r="P20" i="4"/>
  <c r="P128" i="4"/>
  <c r="K115" i="4"/>
  <c r="P115" i="4" s="1"/>
  <c r="K114" i="4"/>
  <c r="P114" i="4" s="1"/>
  <c r="K116" i="4"/>
  <c r="P116" i="4" s="1"/>
  <c r="P57" i="4"/>
  <c r="P153" i="4"/>
  <c r="P59" i="4"/>
  <c r="K109" i="4"/>
  <c r="P109" i="4" s="1"/>
  <c r="K110" i="4"/>
  <c r="P110" i="4" s="1"/>
  <c r="K111" i="4"/>
  <c r="P111" i="4" s="1"/>
  <c r="P21" i="4"/>
  <c r="Q24" i="5"/>
  <c r="N3" i="2" l="1"/>
  <c r="G19" i="2"/>
  <c r="G18" i="2"/>
  <c r="G17" i="2"/>
  <c r="G16" i="2"/>
  <c r="G14" i="2"/>
  <c r="G13" i="2"/>
  <c r="G12" i="2"/>
  <c r="G11" i="2"/>
  <c r="T5" i="2"/>
  <c r="P5" i="2"/>
  <c r="O19" i="2"/>
  <c r="N19" i="2"/>
  <c r="M19" i="2"/>
  <c r="L19" i="2"/>
  <c r="J19" i="2"/>
  <c r="I19" i="2"/>
  <c r="H19" i="2"/>
  <c r="D19" i="2"/>
  <c r="O18" i="2"/>
  <c r="N18" i="2"/>
  <c r="M18" i="2"/>
  <c r="L18" i="2"/>
  <c r="J18" i="2"/>
  <c r="I18" i="2"/>
  <c r="H18" i="2"/>
  <c r="D18" i="2"/>
  <c r="O17" i="2"/>
  <c r="N17" i="2"/>
  <c r="M17" i="2"/>
  <c r="L17" i="2"/>
  <c r="J17" i="2"/>
  <c r="I17" i="2"/>
  <c r="H17" i="2"/>
  <c r="D17" i="2"/>
  <c r="O16" i="2"/>
  <c r="N16" i="2"/>
  <c r="M16" i="2"/>
  <c r="L16" i="2"/>
  <c r="J16" i="2"/>
  <c r="I16" i="2"/>
  <c r="H16" i="2"/>
  <c r="D16" i="2"/>
  <c r="O14" i="2"/>
  <c r="N14" i="2"/>
  <c r="M14" i="2"/>
  <c r="L14" i="2"/>
  <c r="J14" i="2"/>
  <c r="I14" i="2"/>
  <c r="H14" i="2"/>
  <c r="D14" i="2"/>
  <c r="O13" i="2"/>
  <c r="N13" i="2"/>
  <c r="M13" i="2"/>
  <c r="L13" i="2"/>
  <c r="J13" i="2"/>
  <c r="I13" i="2"/>
  <c r="H13" i="2"/>
  <c r="D13" i="2"/>
  <c r="O12" i="2"/>
  <c r="N12" i="2"/>
  <c r="M12" i="2"/>
  <c r="L12" i="2"/>
  <c r="J12" i="2"/>
  <c r="I12" i="2"/>
  <c r="H12" i="2"/>
  <c r="D12" i="2"/>
  <c r="O11" i="2"/>
  <c r="N11" i="2"/>
  <c r="M11" i="2"/>
  <c r="L11" i="2"/>
  <c r="J11" i="2"/>
  <c r="I11" i="2"/>
  <c r="H11" i="2"/>
  <c r="E11" i="2"/>
  <c r="U6" i="2"/>
  <c r="Q6" i="2"/>
  <c r="N7" i="2"/>
  <c r="T9" i="2" l="1"/>
  <c r="P9" i="2"/>
  <c r="N9" i="2"/>
  <c r="M9" i="2"/>
  <c r="L9" i="2"/>
  <c r="U9" i="2" s="1"/>
  <c r="M8" i="2"/>
  <c r="L8" i="2"/>
  <c r="Q8" i="2" s="1"/>
  <c r="M7" i="2"/>
  <c r="L7" i="2"/>
  <c r="N6" i="2"/>
  <c r="M6" i="2"/>
  <c r="L3" i="2" s="1"/>
  <c r="L6" i="2"/>
  <c r="O6" i="2" s="1"/>
  <c r="T6" i="2" s="1"/>
  <c r="M5" i="2"/>
  <c r="L5" i="2"/>
  <c r="U5" i="2" l="1"/>
  <c r="Q5" i="2"/>
  <c r="K12" i="2"/>
  <c r="F11" i="2"/>
  <c r="F13" i="2"/>
  <c r="K11" i="2"/>
  <c r="K18" i="2"/>
  <c r="F17" i="2"/>
  <c r="K14" i="2"/>
  <c r="F19" i="2"/>
  <c r="F18" i="2"/>
  <c r="K17" i="2"/>
  <c r="F16" i="2"/>
  <c r="F12" i="2"/>
  <c r="K13" i="2"/>
  <c r="K19" i="2"/>
  <c r="K16" i="2"/>
  <c r="F14" i="2"/>
  <c r="Q9" i="2"/>
  <c r="P6" i="2"/>
  <c r="U7" i="2"/>
  <c r="O9" i="2"/>
  <c r="S9" i="2" s="1"/>
  <c r="V9" i="2" s="1"/>
  <c r="U8" i="2"/>
  <c r="R9" i="2"/>
  <c r="S6" i="2"/>
  <c r="Q7" i="2"/>
  <c r="N8" i="2"/>
  <c r="N5" i="2"/>
  <c r="O5" i="2" l="1"/>
  <c r="R5" i="2"/>
  <c r="R7" i="2"/>
  <c r="O7" i="2"/>
  <c r="S7" i="2" s="1"/>
  <c r="V7" i="2" s="1"/>
  <c r="R8" i="2"/>
  <c r="S5" i="2"/>
  <c r="V5" i="2" s="1"/>
  <c r="R6" i="2"/>
  <c r="V6" i="2"/>
  <c r="O8" i="2"/>
  <c r="P14" i="2" l="1"/>
  <c r="T14" i="2"/>
  <c r="T19" i="2"/>
  <c r="P19" i="2"/>
  <c r="T17" i="2"/>
  <c r="T16" i="2"/>
  <c r="T18" i="2"/>
  <c r="Q2" i="2"/>
  <c r="P8" i="2"/>
  <c r="T8" i="2"/>
  <c r="T12" i="2"/>
  <c r="T11" i="2"/>
  <c r="T13" i="2"/>
  <c r="S8" i="2"/>
  <c r="V8" i="2" s="1"/>
  <c r="P7" i="2"/>
  <c r="T7" i="2"/>
  <c r="P13" i="2" l="1"/>
  <c r="P16" i="2"/>
  <c r="P18" i="2"/>
  <c r="P11" i="2"/>
  <c r="P12" i="2"/>
  <c r="P17" i="2" l="1"/>
</calcChain>
</file>

<file path=xl/sharedStrings.xml><?xml version="1.0" encoding="utf-8"?>
<sst xmlns="http://schemas.openxmlformats.org/spreadsheetml/2006/main" count="6562" uniqueCount="661">
  <si>
    <t>助推数</t>
    <phoneticPr fontId="1" type="noConversion"/>
  </si>
  <si>
    <t>质量</t>
    <phoneticPr fontId="1" type="noConversion"/>
  </si>
  <si>
    <t>干质比</t>
    <phoneticPr fontId="1" type="noConversion"/>
  </si>
  <si>
    <t>助推</t>
    <phoneticPr fontId="1" type="noConversion"/>
  </si>
  <si>
    <t>载荷</t>
    <phoneticPr fontId="1" type="noConversion"/>
  </si>
  <si>
    <t>SSO</t>
    <phoneticPr fontId="1" type="noConversion"/>
  </si>
  <si>
    <t>总重</t>
    <phoneticPr fontId="1" type="noConversion"/>
  </si>
  <si>
    <t>真空推力</t>
    <phoneticPr fontId="1" type="noConversion"/>
  </si>
  <si>
    <t>真空比冲</t>
    <phoneticPr fontId="1" type="noConversion"/>
  </si>
  <si>
    <t>回收载荷</t>
    <phoneticPr fontId="1" type="noConversion"/>
  </si>
  <si>
    <t>初质量</t>
    <phoneticPr fontId="1" type="noConversion"/>
  </si>
  <si>
    <t>末质量</t>
    <phoneticPr fontId="1" type="noConversion"/>
  </si>
  <si>
    <t>燃烧时间</t>
    <phoneticPr fontId="1" type="noConversion"/>
  </si>
  <si>
    <t>总干重</t>
    <phoneticPr fontId="1" type="noConversion"/>
  </si>
  <si>
    <t>总燃料</t>
    <phoneticPr fontId="1" type="noConversion"/>
  </si>
  <si>
    <t>总干重</t>
    <phoneticPr fontId="1" type="noConversion"/>
  </si>
  <si>
    <t>燃烧时间</t>
    <phoneticPr fontId="1" type="noConversion"/>
  </si>
  <si>
    <t>全抛时（不包括载荷）</t>
    <phoneticPr fontId="1" type="noConversion"/>
  </si>
  <si>
    <t>回收时（不包括载荷）</t>
    <phoneticPr fontId="1" type="noConversion"/>
  </si>
  <si>
    <t>助推dV</t>
    <phoneticPr fontId="1" type="noConversion"/>
  </si>
  <si>
    <t>2级dV</t>
    <phoneticPr fontId="1" type="noConversion"/>
  </si>
  <si>
    <t>3级dV</t>
    <phoneticPr fontId="1" type="noConversion"/>
  </si>
  <si>
    <t>4级dV</t>
    <phoneticPr fontId="1" type="noConversion"/>
  </si>
  <si>
    <t>2级推比</t>
    <phoneticPr fontId="1" type="noConversion"/>
  </si>
  <si>
    <t>3级推比</t>
    <phoneticPr fontId="1" type="noConversion"/>
  </si>
  <si>
    <t>4级推比</t>
    <phoneticPr fontId="1" type="noConversion"/>
  </si>
  <si>
    <t>1级dV</t>
    <phoneticPr fontId="1" type="noConversion"/>
  </si>
  <si>
    <t>总dV</t>
    <phoneticPr fontId="1" type="noConversion"/>
  </si>
  <si>
    <t>起飞质量</t>
    <phoneticPr fontId="1" type="noConversion"/>
  </si>
  <si>
    <t>1级推比</t>
    <phoneticPr fontId="1" type="noConversion"/>
  </si>
  <si>
    <t>LEO</t>
    <phoneticPr fontId="1" type="noConversion"/>
  </si>
  <si>
    <t>GTO</t>
    <phoneticPr fontId="1" type="noConversion"/>
  </si>
  <si>
    <t>TLI</t>
    <phoneticPr fontId="1" type="noConversion"/>
  </si>
  <si>
    <t>SSO</t>
    <phoneticPr fontId="1" type="noConversion"/>
  </si>
  <si>
    <t>LEO</t>
    <phoneticPr fontId="1" type="noConversion"/>
  </si>
  <si>
    <t>GTO</t>
    <phoneticPr fontId="1" type="noConversion"/>
  </si>
  <si>
    <t>TLI</t>
    <phoneticPr fontId="1" type="noConversion"/>
  </si>
  <si>
    <t>回收轨道</t>
    <phoneticPr fontId="1" type="noConversion"/>
  </si>
  <si>
    <t>全抛轨道</t>
    <phoneticPr fontId="1" type="noConversion"/>
  </si>
  <si>
    <t>火箭分级</t>
    <phoneticPr fontId="1" type="noConversion"/>
  </si>
  <si>
    <t>助推推比</t>
    <phoneticPr fontId="1" type="noConversion"/>
  </si>
  <si>
    <t>1级和助推海面比冲</t>
    <phoneticPr fontId="1" type="noConversion"/>
  </si>
  <si>
    <t>注释</t>
    <phoneticPr fontId="1" type="noConversion"/>
  </si>
  <si>
    <t>节流比例</t>
    <phoneticPr fontId="1" type="noConversion"/>
  </si>
  <si>
    <t>回收油耗</t>
    <phoneticPr fontId="1" type="noConversion"/>
  </si>
  <si>
    <t>战犬金龟（贴吧/B站）</t>
    <phoneticPr fontId="1" type="noConversion"/>
  </si>
  <si>
    <t>战犬金龟（贴吧/B站）</t>
    <phoneticPr fontId="1" type="noConversion"/>
  </si>
  <si>
    <t>战犬金龟（贴吧/B站）</t>
    <phoneticPr fontId="1" type="noConversion"/>
  </si>
  <si>
    <t>战犬金龟</t>
    <phoneticPr fontId="1" type="noConversion"/>
  </si>
  <si>
    <t>报错→</t>
    <phoneticPr fontId="1" type="noConversion"/>
  </si>
  <si>
    <t>报错↓</t>
    <phoneticPr fontId="1" type="noConversion"/>
  </si>
  <si>
    <t>报错↓</t>
    <phoneticPr fontId="1" type="noConversion"/>
  </si>
  <si>
    <t>点此输入火箭名称</t>
    <phoneticPr fontId="1" type="noConversion"/>
  </si>
  <si>
    <t>战犬金龟（贴吧/B站）</t>
    <phoneticPr fontId="1" type="noConversion"/>
  </si>
  <si>
    <t>回收载荷</t>
  </si>
  <si>
    <t>16版夏梦寻估测长九</t>
  </si>
  <si>
    <t>2台YF130，参数完全按照夏梦寻估测的长九来</t>
  </si>
  <si>
    <t>4台YF130</t>
  </si>
  <si>
    <t>2台YF90</t>
  </si>
  <si>
    <t>4台YF79</t>
  </si>
  <si>
    <t>质量</t>
  </si>
  <si>
    <t>干质比</t>
  </si>
  <si>
    <t>真空推力</t>
  </si>
  <si>
    <t>真空比冲</t>
  </si>
  <si>
    <t>节流比例</t>
  </si>
  <si>
    <t>回收油耗</t>
  </si>
  <si>
    <t>说明：</t>
    <phoneticPr fontId="1" type="noConversion"/>
  </si>
  <si>
    <t>猛禽2的星舰</t>
  </si>
  <si>
    <t>33台Raptor-2，3400燃料，单台推力230，真空比冲应该比1更低</t>
  </si>
  <si>
    <t>真空总推</t>
    <phoneticPr fontId="1" type="noConversion"/>
  </si>
  <si>
    <t>起飞推力</t>
    <phoneticPr fontId="1" type="noConversion"/>
  </si>
  <si>
    <t>1级和助推平均真空比冲</t>
    <phoneticPr fontId="1" type="noConversion"/>
  </si>
  <si>
    <t>长征9号和长征10号的PPT合集。不保证数据和计算的准确性。</t>
    <phoneticPr fontId="1" type="noConversion"/>
  </si>
  <si>
    <t>部分国外重型火箭。不保证数据和计算的准确性。</t>
    <phoneticPr fontId="1" type="noConversion"/>
  </si>
  <si>
    <t>吧友自创火箭的个人改版。保证数据的准确性，毕竟是自创的，想填什么填什么，哈哈哈</t>
    <phoneticPr fontId="1" type="noConversion"/>
  </si>
  <si>
    <t>国内论文或官方拟规划的某些火箭。不保证数据和计算的准确性。</t>
    <phoneticPr fontId="1" type="noConversion"/>
  </si>
  <si>
    <t>长征9号（23版）</t>
    <phoneticPr fontId="1" type="noConversion"/>
  </si>
  <si>
    <t>长征9B（23版）</t>
    <phoneticPr fontId="1" type="noConversion"/>
  </si>
  <si>
    <t>长征9号（16版）</t>
    <phoneticPr fontId="1" type="noConversion"/>
  </si>
  <si>
    <t>长征10号</t>
    <phoneticPr fontId="1" type="noConversion"/>
  </si>
  <si>
    <t>长征10B</t>
    <phoneticPr fontId="1" type="noConversion"/>
  </si>
  <si>
    <t>长征10C（光杆）</t>
    <phoneticPr fontId="1" type="noConversion"/>
  </si>
  <si>
    <t>龙又改PPT！甲烷一二级氢氧三级</t>
  </si>
  <si>
    <t>2台200t全流量甲烷真空版</t>
  </si>
  <si>
    <t>4台YF79，燃料140t</t>
  </si>
  <si>
    <t>甲烷一二级新长九</t>
  </si>
  <si>
    <t>30台200t全流量甲烷，燃料3420t，若干质比16则重3648</t>
  </si>
  <si>
    <t>2台200t全流量甲烷真空版，燃料370t，若干质比13则重401</t>
  </si>
  <si>
    <t>24台YF130/2，注意这里用了真空推力</t>
  </si>
  <si>
    <t>4台YF91，如果是2台YF90则是394重、449、453isp</t>
  </si>
  <si>
    <t>1台YF91，如果是4台YF79则是126重、102、456isp</t>
  </si>
  <si>
    <t>煤油一级氢氧二三级</t>
    <phoneticPr fontId="1" type="noConversion"/>
  </si>
  <si>
    <t>二级长九</t>
  </si>
  <si>
    <t>24台YF130/2</t>
  </si>
  <si>
    <t>4台YF91</t>
  </si>
  <si>
    <t>三级半新载人火箭</t>
  </si>
  <si>
    <t>7台YF100K，三级半构型的助推，注意这里用了真空推力</t>
  </si>
  <si>
    <t>7台YF100K，芯级节流另外算，这里是全推力</t>
  </si>
  <si>
    <t>2台YF100M，用f9二级换发，干质比能到20，考虑载重加固减到16。</t>
  </si>
  <si>
    <t>3台YF75E</t>
  </si>
  <si>
    <t>7台YF100K</t>
  </si>
  <si>
    <t>2台YF100M</t>
  </si>
  <si>
    <t>二级光杆新载人火箭</t>
  </si>
  <si>
    <t>7台YF100K，但我给减了50加推重比，就和老计划一级一样了</t>
  </si>
  <si>
    <t>1台YF100M，比长10减了半，但载重也少，所以干质比可以不变</t>
  </si>
  <si>
    <t>Long March 9 2023</t>
    <phoneticPr fontId="1" type="noConversion"/>
  </si>
  <si>
    <t>Long March 9 2016</t>
    <phoneticPr fontId="1" type="noConversion"/>
  </si>
  <si>
    <t>Long March 10</t>
    <phoneticPr fontId="1" type="noConversion"/>
  </si>
  <si>
    <t>Long March 10B</t>
    <phoneticPr fontId="1" type="noConversion"/>
  </si>
  <si>
    <t>Long March 10C</t>
    <phoneticPr fontId="1" type="noConversion"/>
  </si>
  <si>
    <r>
      <t xml:space="preserve">Long March 9B </t>
    </r>
    <r>
      <rPr>
        <sz val="11"/>
        <rFont val="Times New Roman"/>
        <family val="1"/>
      </rPr>
      <t>~</t>
    </r>
    <r>
      <rPr>
        <sz val="11"/>
        <rFont val="宋体"/>
        <family val="2"/>
        <scheme val="minor"/>
      </rPr>
      <t>23</t>
    </r>
    <phoneticPr fontId="1" type="noConversion"/>
  </si>
  <si>
    <t>二级半新载人火箭</t>
    <phoneticPr fontId="1" type="noConversion"/>
  </si>
  <si>
    <t>长征9号（22版）</t>
    <phoneticPr fontId="1" type="noConversion"/>
  </si>
  <si>
    <t>Long March 9 2022</t>
    <phoneticPr fontId="1" type="noConversion"/>
  </si>
  <si>
    <t>长征9B（22版）</t>
    <phoneticPr fontId="1" type="noConversion"/>
  </si>
  <si>
    <r>
      <t xml:space="preserve">Long March 9B </t>
    </r>
    <r>
      <rPr>
        <sz val="11"/>
        <rFont val="Times New Roman"/>
        <family val="1"/>
      </rPr>
      <t>~</t>
    </r>
    <r>
      <rPr>
        <sz val="11"/>
        <rFont val="宋体"/>
        <family val="2"/>
        <scheme val="minor"/>
      </rPr>
      <t>22</t>
    </r>
    <phoneticPr fontId="1" type="noConversion"/>
  </si>
  <si>
    <t>2，绿色实心方框区域是火箭有几级就填几级，没有的不填，但每级的每行必须都填完，载荷也是没有的不填；绿色虚线区域则是可以都不填，节流比例不填默认为1【节流不影响dV】，回收油耗（回收额外耗费的燃料比例）默认为0。</t>
    <phoneticPr fontId="1" type="noConversion"/>
  </si>
  <si>
    <r>
      <t>3，单位：质量单位为吨，推力单位为</t>
    </r>
    <r>
      <rPr>
        <b/>
        <sz val="11"/>
        <color theme="1"/>
        <rFont val="宋体"/>
        <family val="3"/>
        <charset val="134"/>
        <scheme val="minor"/>
      </rPr>
      <t>吨</t>
    </r>
    <r>
      <rPr>
        <sz val="11"/>
        <color theme="1"/>
        <rFont val="宋体"/>
        <family val="2"/>
        <scheme val="minor"/>
      </rPr>
      <t>，比冲单位为</t>
    </r>
    <r>
      <rPr>
        <b/>
        <sz val="11"/>
        <color theme="1"/>
        <rFont val="宋体"/>
        <family val="3"/>
        <charset val="134"/>
        <scheme val="minor"/>
      </rPr>
      <t>秒</t>
    </r>
    <r>
      <rPr>
        <sz val="11"/>
        <color theme="1"/>
        <rFont val="宋体"/>
        <family val="2"/>
        <scheme val="minor"/>
      </rPr>
      <t>，时间单位为秒，dV单位为米每秒。其余无量纲。关于9.8的换算可以用另一个Excel的小工具。</t>
    </r>
    <phoneticPr fontId="1" type="noConversion"/>
  </si>
  <si>
    <t>土星五号</t>
    <phoneticPr fontId="1" type="noConversion"/>
  </si>
  <si>
    <t>Saturn V</t>
    <phoneticPr fontId="1" type="noConversion"/>
  </si>
  <si>
    <t>星舰</t>
    <phoneticPr fontId="1" type="noConversion"/>
  </si>
  <si>
    <t>Starship</t>
    <phoneticPr fontId="1" type="noConversion"/>
  </si>
  <si>
    <t>SLS Block 1</t>
  </si>
  <si>
    <t>SLS Block 1</t>
    <phoneticPr fontId="1" type="noConversion"/>
  </si>
  <si>
    <t>SLS Block 2</t>
    <phoneticPr fontId="1" type="noConversion"/>
  </si>
  <si>
    <t>SLS Block 2</t>
    <phoneticPr fontId="1" type="noConversion"/>
  </si>
  <si>
    <t>New Glenn</t>
  </si>
  <si>
    <t>新格伦</t>
    <phoneticPr fontId="1" type="noConversion"/>
  </si>
  <si>
    <t>7台BE-4</t>
  </si>
  <si>
    <t>2台BE-3U</t>
  </si>
  <si>
    <t>5台F1</t>
  </si>
  <si>
    <t>5台J2</t>
  </si>
  <si>
    <t>1台J2</t>
  </si>
  <si>
    <t>1台5段SRB</t>
  </si>
  <si>
    <t>4台RS-25E</t>
  </si>
  <si>
    <t>1台RL-10B-2</t>
  </si>
  <si>
    <t>1台升级版4段SRB</t>
  </si>
  <si>
    <t>4台RL-10C</t>
  </si>
  <si>
    <t>http://www.braeunig.us/space/specs/sls.htm</t>
    <phoneticPr fontId="1" type="noConversion"/>
  </si>
  <si>
    <t>http://www.braeunig.us/space/specs/sls.htm</t>
    <phoneticPr fontId="1" type="noConversion"/>
  </si>
  <si>
    <t>https://en.wikipedia.org/wiki/Saturn_V</t>
    <phoneticPr fontId="1" type="noConversion"/>
  </si>
  <si>
    <t>https://en.wikipedia.org/wiki/SpaceX_Starship</t>
    <phoneticPr fontId="1" type="noConversion"/>
  </si>
  <si>
    <t>https://www.blueorigin.com/new-glenn</t>
    <phoneticPr fontId="1" type="noConversion"/>
  </si>
  <si>
    <t>https://sat.huijiwiki.com/index.php?diff=12259&amp;oldid=8973</t>
    <phoneticPr fontId="1" type="noConversion"/>
  </si>
  <si>
    <t>https://sat.huijiwiki.com/index.php?diff=12259&amp;oldid=8973</t>
    <phoneticPr fontId="1" type="noConversion"/>
  </si>
  <si>
    <t>N1</t>
    <phoneticPr fontId="1" type="noConversion"/>
  </si>
  <si>
    <t>N1</t>
    <phoneticPr fontId="1" type="noConversion"/>
  </si>
  <si>
    <t>能源号</t>
    <phoneticPr fontId="1" type="noConversion"/>
  </si>
  <si>
    <t>Energia</t>
    <phoneticPr fontId="1" type="noConversion"/>
  </si>
  <si>
    <r>
      <t>4，助推指的是</t>
    </r>
    <r>
      <rPr>
        <b/>
        <sz val="11"/>
        <color theme="1"/>
        <rFont val="宋体"/>
        <family val="3"/>
        <charset val="134"/>
        <scheme val="minor"/>
      </rPr>
      <t>单个助推</t>
    </r>
    <r>
      <rPr>
        <sz val="11"/>
        <color theme="1"/>
        <rFont val="宋体"/>
        <family val="3"/>
        <charset val="134"/>
        <scheme val="minor"/>
      </rPr>
      <t>的质量</t>
    </r>
    <r>
      <rPr>
        <sz val="11"/>
        <color theme="1"/>
        <rFont val="宋体"/>
        <family val="2"/>
        <scheme val="minor"/>
      </rPr>
      <t>，上面有助推数量来进行相乘。计算助推dV的时候是和一级的其中一部分一起算了，而此时一级dV指的是抛助推后一级剩下燃料提供的dV。</t>
    </r>
    <phoneticPr fontId="1" type="noConversion"/>
  </si>
  <si>
    <t>N1/L3的前四级，第五级算载荷</t>
  </si>
  <si>
    <t>30台NK15</t>
  </si>
  <si>
    <t>30台NK15</t>
    <phoneticPr fontId="1" type="noConversion"/>
  </si>
  <si>
    <t>8台NK15V</t>
  </si>
  <si>
    <t>8台NK15V</t>
    <phoneticPr fontId="1" type="noConversion"/>
  </si>
  <si>
    <t>http://www.b14643.de/Spacerockets_1/East_Europe_2/N-1/Description/Frame.htm</t>
    <phoneticPr fontId="1" type="noConversion"/>
  </si>
  <si>
    <t>http://www.b14643.de/Spacerockets_1/East_Europe_2/Energiya/Description/Frame.htm</t>
    <phoneticPr fontId="1" type="noConversion"/>
  </si>
  <si>
    <t>Energiya!!!!</t>
    <phoneticPr fontId="1" type="noConversion"/>
  </si>
  <si>
    <t>4台RD0120</t>
    <phoneticPr fontId="1" type="noConversion"/>
  </si>
  <si>
    <t>1台RD170，干质比低因为能回收</t>
    <phoneticPr fontId="1" type="noConversion"/>
  </si>
  <si>
    <t>这火箭放这合适吗</t>
    <phoneticPr fontId="1" type="noConversion"/>
  </si>
  <si>
    <t>美俄欧日的部分现役（或刚退役不久）的火箭。不保证数据和计算的准确性。</t>
    <phoneticPr fontId="1" type="noConversion"/>
  </si>
  <si>
    <t>3台Raptor Vacuum+3台Raptor-2，3台真空是954.2、375isp</t>
    <phoneticPr fontId="1" type="noConversion"/>
  </si>
  <si>
    <t>N1/L3</t>
    <phoneticPr fontId="1" type="noConversion"/>
  </si>
  <si>
    <t>N1/L3</t>
    <phoneticPr fontId="1" type="noConversion"/>
  </si>
  <si>
    <t>http://www.astronautix.com/n/n11969.html</t>
    <phoneticPr fontId="1" type="noConversion"/>
  </si>
  <si>
    <t>http://www.b14643.de/Spacerockets_1/East_Europe_2/N-1/Description/Frame.htm</t>
    <phoneticPr fontId="1" type="noConversion"/>
  </si>
  <si>
    <t>https://everydayastronaut.com/soviet-rocket-engines/</t>
    <phoneticPr fontId="1" type="noConversion"/>
  </si>
  <si>
    <t>4台NK19</t>
    <phoneticPr fontId="1" type="noConversion"/>
  </si>
  <si>
    <t>1台NK21</t>
    <phoneticPr fontId="1" type="noConversion"/>
  </si>
  <si>
    <t>4台NK19</t>
    <phoneticPr fontId="1" type="noConversion"/>
  </si>
  <si>
    <t>长征5号</t>
    <phoneticPr fontId="1" type="noConversion"/>
  </si>
  <si>
    <t>Long March 5</t>
    <phoneticPr fontId="1" type="noConversion"/>
  </si>
  <si>
    <t>长征5B</t>
    <phoneticPr fontId="1" type="noConversion"/>
  </si>
  <si>
    <t>Long March 5B</t>
    <phoneticPr fontId="1" type="noConversion"/>
  </si>
  <si>
    <t>长征7号</t>
    <phoneticPr fontId="1" type="noConversion"/>
  </si>
  <si>
    <t>Long March 7</t>
    <phoneticPr fontId="1" type="noConversion"/>
  </si>
  <si>
    <t>长征7A</t>
    <phoneticPr fontId="1" type="noConversion"/>
  </si>
  <si>
    <t>Long March 7A</t>
    <phoneticPr fontId="1" type="noConversion"/>
  </si>
  <si>
    <t>长征3B</t>
    <phoneticPr fontId="1" type="noConversion"/>
  </si>
  <si>
    <t>Long March 3B</t>
    <phoneticPr fontId="1" type="noConversion"/>
  </si>
  <si>
    <t>长征2C</t>
    <phoneticPr fontId="1" type="noConversion"/>
  </si>
  <si>
    <t>Long March 2C</t>
    <phoneticPr fontId="1" type="noConversion"/>
  </si>
  <si>
    <t>长三乙</t>
    <phoneticPr fontId="1" type="noConversion"/>
  </si>
  <si>
    <t>长征2D</t>
    <phoneticPr fontId="1" type="noConversion"/>
  </si>
  <si>
    <t>Long March 2D</t>
    <phoneticPr fontId="1" type="noConversion"/>
  </si>
  <si>
    <t>长征2E</t>
    <phoneticPr fontId="1" type="noConversion"/>
  </si>
  <si>
    <t>Long March 2E</t>
    <phoneticPr fontId="1" type="noConversion"/>
  </si>
  <si>
    <t>长五</t>
  </si>
  <si>
    <t>2台YF100</t>
  </si>
  <si>
    <t>2台YF77</t>
  </si>
  <si>
    <t>2台YF75D</t>
  </si>
  <si>
    <t>长5B</t>
  </si>
  <si>
    <t>节流只是为了不让助推先烧完</t>
  </si>
  <si>
    <t>1台YF100，干质比和质量是某网站估计的</t>
  </si>
  <si>
    <t>4台YF115</t>
  </si>
  <si>
    <t>4台YF21</t>
  </si>
  <si>
    <t>1台YF22+4台YF23游机</t>
  </si>
  <si>
    <t>4台YF21B</t>
  </si>
  <si>
    <t>98年老数据，非最新版本</t>
  </si>
  <si>
    <t>98年老数据，非最新版本</t>
    <phoneticPr fontId="1" type="noConversion"/>
  </si>
  <si>
    <t>https://www.bilibili.com/read/cv4412496</t>
    <phoneticPr fontId="1" type="noConversion"/>
  </si>
  <si>
    <t>https://www.bilibili.com/read/cv4412496</t>
    <phoneticPr fontId="1" type="noConversion"/>
  </si>
  <si>
    <t>http://www.b14643.de/Spacerockets_1/China/CZ-7/Description/Frame.htm</t>
    <phoneticPr fontId="1" type="noConversion"/>
  </si>
  <si>
    <t>http://www.b14643.de/Spacerockets_1/China/CZ-7/Description/Frame.htm</t>
    <phoneticPr fontId="1" type="noConversion"/>
  </si>
  <si>
    <t>1台YF100</t>
    <phoneticPr fontId="1" type="noConversion"/>
  </si>
  <si>
    <t>2台YF100，集束式分离</t>
    <phoneticPr fontId="1" type="noConversion"/>
  </si>
  <si>
    <t>700km SSO</t>
  </si>
  <si>
    <t>4台YF115，干质比值得怀疑</t>
    <phoneticPr fontId="1" type="noConversion"/>
  </si>
  <si>
    <t>2台YF100，干质比值得怀疑，芯级3.35干质比比不上助推2.25</t>
    <phoneticPr fontId="1" type="noConversion"/>
  </si>
  <si>
    <t>长征8号</t>
    <phoneticPr fontId="1" type="noConversion"/>
  </si>
  <si>
    <t>Long March 8</t>
    <phoneticPr fontId="1" type="noConversion"/>
  </si>
  <si>
    <t>长征8号改</t>
    <phoneticPr fontId="1" type="noConversion"/>
  </si>
  <si>
    <t>Long March 8G</t>
    <phoneticPr fontId="1" type="noConversion"/>
  </si>
  <si>
    <t>2台YF75，借长3B的数据</t>
  </si>
  <si>
    <t>2台YF75，借长3B的数据</t>
    <phoneticPr fontId="1" type="noConversion"/>
  </si>
  <si>
    <t>http://www.b14643.de/Spacerockets_1/China/CZ-7/Description/Frame.htm</t>
    <phoneticPr fontId="1" type="noConversion"/>
  </si>
  <si>
    <t>一级与助推集束式分离</t>
    <phoneticPr fontId="1" type="noConversion"/>
  </si>
  <si>
    <t>长八</t>
    <phoneticPr fontId="1" type="noConversion"/>
  </si>
  <si>
    <t>二级3m换3.35</t>
    <phoneticPr fontId="1" type="noConversion"/>
  </si>
  <si>
    <t>1台YF100</t>
  </si>
  <si>
    <t>1台YF100</t>
    <phoneticPr fontId="1" type="noConversion"/>
  </si>
  <si>
    <t>2台YF100，干质比值得怀疑</t>
  </si>
  <si>
    <t>2台YF100，干质比值得怀疑</t>
    <phoneticPr fontId="1" type="noConversion"/>
  </si>
  <si>
    <t>2台YF75H，增推，干质比瞎写</t>
    <phoneticPr fontId="1" type="noConversion"/>
  </si>
  <si>
    <t>少部分长征系列火箭，长5、7、8的数据基本没有参考价值，毕竟数据完全查不到。长2长3系列的数据是过时数据。不保证数据和计算的准确性。</t>
    <phoneticPr fontId="1" type="noConversion"/>
  </si>
  <si>
    <t>就假装这是长2F吧</t>
    <phoneticPr fontId="1" type="noConversion"/>
  </si>
  <si>
    <t>1台YF24B+4台YF23B游机</t>
    <phoneticPr fontId="1" type="noConversion"/>
  </si>
  <si>
    <t>最新版本的在4t左右</t>
    <phoneticPr fontId="1" type="noConversion"/>
  </si>
  <si>
    <t>最新版本的为5.5t</t>
  </si>
  <si>
    <t>4台YF21B</t>
    <phoneticPr fontId="1" type="noConversion"/>
  </si>
  <si>
    <t>1台YF20B</t>
  </si>
  <si>
    <t>1台YF20B</t>
    <phoneticPr fontId="1" type="noConversion"/>
  </si>
  <si>
    <t>2台YF75</t>
    <phoneticPr fontId="1" type="noConversion"/>
  </si>
  <si>
    <t>1台YF22B+4台YF23B游机，稍微减小了点比冲因为游机工作时间较长</t>
    <phoneticPr fontId="1" type="noConversion"/>
  </si>
  <si>
    <t>看起来正常，dV稍微低了点</t>
    <phoneticPr fontId="1" type="noConversion"/>
  </si>
  <si>
    <t>干质比别怪我取的低，是官方那图里加注量和总质量推断出来的</t>
  </si>
  <si>
    <t>干质比别怪我取的低，是官方那图里加注量和总质量推断出来的</t>
    <phoneticPr fontId="1" type="noConversion"/>
  </si>
  <si>
    <t>德尔塔4重型</t>
    <phoneticPr fontId="1" type="noConversion"/>
  </si>
  <si>
    <t>质子M</t>
    <phoneticPr fontId="1" type="noConversion"/>
  </si>
  <si>
    <t>质子M/微风M</t>
    <phoneticPr fontId="1" type="noConversion"/>
  </si>
  <si>
    <t>安加拉A5</t>
    <phoneticPr fontId="1" type="noConversion"/>
  </si>
  <si>
    <t>安加拉A5/微风M</t>
    <phoneticPr fontId="1" type="noConversion"/>
  </si>
  <si>
    <t>阿丽亚娜5 ECA</t>
    <phoneticPr fontId="1" type="noConversion"/>
  </si>
  <si>
    <t>H2B</t>
    <phoneticPr fontId="1" type="noConversion"/>
  </si>
  <si>
    <t>Falcon Heavy</t>
    <phoneticPr fontId="1" type="noConversion"/>
  </si>
  <si>
    <t>重型猎鹰</t>
    <phoneticPr fontId="1" type="noConversion"/>
  </si>
  <si>
    <t>Delta IV Heavy</t>
    <phoneticPr fontId="1" type="noConversion"/>
  </si>
  <si>
    <t>Proton-M</t>
    <phoneticPr fontId="1" type="noConversion"/>
  </si>
  <si>
    <t>Proton-M/Briz-M</t>
    <phoneticPr fontId="1" type="noConversion"/>
  </si>
  <si>
    <t>Angara-5</t>
    <phoneticPr fontId="1" type="noConversion"/>
  </si>
  <si>
    <t>Angara-5/Briz-M</t>
    <phoneticPr fontId="1" type="noConversion"/>
  </si>
  <si>
    <t>Ariane 5 ECA</t>
  </si>
  <si>
    <t>H-IIB</t>
  </si>
  <si>
    <t>9台Merlin 1D</t>
  </si>
  <si>
    <t>1台Merlin 1D Vacuum</t>
  </si>
  <si>
    <t>https://launchercalculator.com/?rocket=SX4</t>
    <phoneticPr fontId="1" type="noConversion"/>
  </si>
  <si>
    <t>https://en.wikipedia.org/wiki/Falcon_9</t>
    <phoneticPr fontId="1" type="noConversion"/>
  </si>
  <si>
    <t>Falcon 9 Block 5</t>
    <phoneticPr fontId="1" type="noConversion"/>
  </si>
  <si>
    <t>维基百科的猎鹰9 Block 5</t>
    <phoneticPr fontId="1" type="noConversion"/>
  </si>
  <si>
    <t>猎鹰9号Block5</t>
    <phoneticPr fontId="1" type="noConversion"/>
  </si>
  <si>
    <t>一级干质比准确性是个问题</t>
    <phoneticPr fontId="1" type="noConversion"/>
  </si>
  <si>
    <t>为何一级干质比甚小于二级</t>
    <phoneticPr fontId="1" type="noConversion"/>
  </si>
  <si>
    <t>Launcher给的数据，感觉不准</t>
    <phoneticPr fontId="1" type="noConversion"/>
  </si>
  <si>
    <t>战犬金龟</t>
    <phoneticPr fontId="1" type="noConversion"/>
  </si>
  <si>
    <t>运载系数</t>
    <phoneticPr fontId="1" type="noConversion"/>
  </si>
  <si>
    <t>运载系数</t>
    <phoneticPr fontId="1" type="noConversion"/>
  </si>
  <si>
    <t>注意只有三级，所以才只23.5的TLI运力</t>
  </si>
  <si>
    <t>推重比大，所需dV少</t>
  </si>
  <si>
    <t>加上4级对LEO运力贡献甚微</t>
  </si>
  <si>
    <t>30吨TLI才是四级N1的运力</t>
  </si>
  <si>
    <t>18吨5级+10联盟+5.5着陆=33.5吨</t>
  </si>
  <si>
    <t>二级质量好像有点大了</t>
    <phoneticPr fontId="1" type="noConversion"/>
  </si>
  <si>
    <t>猎鹰9号估计值</t>
    <phoneticPr fontId="1" type="noConversion"/>
  </si>
  <si>
    <t>Falcon 9 Estimate</t>
    <phoneticPr fontId="1" type="noConversion"/>
  </si>
  <si>
    <t>1台RS-68A</t>
  </si>
  <si>
    <t>1台RL10-B-2</t>
  </si>
  <si>
    <t>https://en.wikipedia.org/wiki/Delta_IV_Heavy</t>
    <phoneticPr fontId="1" type="noConversion"/>
  </si>
  <si>
    <t>和猎鹰9一级用一样数据</t>
    <phoneticPr fontId="1" type="noConversion"/>
  </si>
  <si>
    <t>6台RD-275M</t>
  </si>
  <si>
    <t>3台RD-0210和1台RD-0211</t>
  </si>
  <si>
    <t>1台RD-0212</t>
  </si>
  <si>
    <t>https://www.ilslaunch.com/launch-vehicle/proton-breeze-m/</t>
    <phoneticPr fontId="1" type="noConversion"/>
  </si>
  <si>
    <t>质子M加微风M上面级</t>
  </si>
  <si>
    <t>1台S5.98M</t>
  </si>
  <si>
    <t>↑网站里右边点进去有各级参数</t>
    <phoneticPr fontId="1" type="noConversion"/>
  </si>
  <si>
    <t>抛助推前节流(325-214)/214</t>
  </si>
  <si>
    <t>1台RD-191</t>
  </si>
  <si>
    <t>1台RD-0124</t>
  </si>
  <si>
    <t>逆天。。。</t>
    <phoneticPr fontId="1" type="noConversion"/>
  </si>
  <si>
    <t>https://web.archive.org/web/20150925203609/http://www.spaceflight101.com/angara-a5.html</t>
    <phoneticPr fontId="1" type="noConversion"/>
  </si>
  <si>
    <t>https://www.russianspaceweb.com/angara_urm2.html</t>
    <phoneticPr fontId="1" type="noConversion"/>
  </si>
  <si>
    <t>1台P241</t>
  </si>
  <si>
    <t>1台Vulcain-2</t>
  </si>
  <si>
    <t>1台HM-7B【二级干质比也太低了吧】</t>
  </si>
  <si>
    <t>1台SRB-A3</t>
  </si>
  <si>
    <t>1台LE-7A</t>
  </si>
  <si>
    <t>1台LE-5B</t>
  </si>
  <si>
    <t>http://www.astronautix.com/a/ariane5eca.html</t>
    <phoneticPr fontId="1" type="noConversion"/>
  </si>
  <si>
    <t>https://global.jaxa.jp/projects/rockets/h2b/</t>
    <phoneticPr fontId="1" type="noConversion"/>
  </si>
  <si>
    <t>目录：</t>
    <phoneticPr fontId="1" type="noConversion"/>
  </si>
  <si>
    <t>日本H2B【固推算不准，海面比冲为估计】</t>
    <phoneticPr fontId="1" type="noConversion"/>
  </si>
  <si>
    <t>欧空局阿5【固推算不准】</t>
    <phoneticPr fontId="1" type="noConversion"/>
  </si>
  <si>
    <t>俄罗斯安加拉A5加微风M上面级</t>
    <phoneticPr fontId="1" type="noConversion"/>
  </si>
  <si>
    <t>节流比例：44s*100%+198s*55%</t>
    <phoneticPr fontId="1" type="noConversion"/>
  </si>
  <si>
    <t>美国ULA的德尔塔4H</t>
    <phoneticPr fontId="1" type="noConversion"/>
  </si>
  <si>
    <t>苏联/俄罗斯质子M</t>
    <phoneticPr fontId="1" type="noConversion"/>
  </si>
  <si>
    <t>俄罗斯安加拉A5</t>
    <phoneticPr fontId="1" type="noConversion"/>
  </si>
  <si>
    <t>经典土五。</t>
    <phoneticPr fontId="1" type="noConversion"/>
  </si>
  <si>
    <t>苏联N1的前三级，没有四五级</t>
    <phoneticPr fontId="1" type="noConversion"/>
  </si>
  <si>
    <t>苏联最后荣光（暴风雪整体作为载荷）</t>
    <phoneticPr fontId="1" type="noConversion"/>
  </si>
  <si>
    <t>美国太空发射系统【固推算不准】</t>
    <phoneticPr fontId="1" type="noConversion"/>
  </si>
  <si>
    <t>【固推算不准，海面比冲为估计】</t>
    <phoneticPr fontId="1" type="noConversion"/>
  </si>
  <si>
    <t>蓝色起源牛葛伦，亮点也只有边条翼了</t>
    <phoneticPr fontId="1" type="noConversion"/>
  </si>
  <si>
    <t>朱雀二号</t>
    <phoneticPr fontId="1" type="noConversion"/>
  </si>
  <si>
    <t>元行者一号</t>
    <phoneticPr fontId="1" type="noConversion"/>
  </si>
  <si>
    <t>Zhuque 2</t>
    <phoneticPr fontId="1" type="noConversion"/>
  </si>
  <si>
    <t xml:space="preserve"> </t>
    <phoneticPr fontId="1" type="noConversion"/>
  </si>
  <si>
    <t xml:space="preserve"> </t>
    <phoneticPr fontId="1" type="noConversion"/>
  </si>
  <si>
    <t>Yuanxingzhe 1</t>
    <phoneticPr fontId="1" type="noConversion"/>
  </si>
  <si>
    <t>Xingzhe-Yuan 1</t>
    <phoneticPr fontId="1" type="noConversion"/>
  </si>
  <si>
    <t>其实叫XZY-1</t>
    <phoneticPr fontId="1" type="noConversion"/>
  </si>
  <si>
    <t>1100km SSO</t>
  </si>
  <si>
    <t>1100km SSO</t>
    <phoneticPr fontId="1" type="noConversion"/>
  </si>
  <si>
    <t>双曲线三号</t>
    <phoneticPr fontId="1" type="noConversion"/>
  </si>
  <si>
    <t>Hyperbola 3</t>
    <phoneticPr fontId="1" type="noConversion"/>
  </si>
  <si>
    <t>箭元科技元行者1，不锈钢4.2m+液氧甲烷</t>
    <phoneticPr fontId="1" type="noConversion"/>
  </si>
  <si>
    <t>天龙3号</t>
    <phoneticPr fontId="1" type="noConversion"/>
  </si>
  <si>
    <t>Tianlong 3</t>
    <phoneticPr fontId="1" type="noConversion"/>
  </si>
  <si>
    <t>Tianlong 3+</t>
    <phoneticPr fontId="1" type="noConversion"/>
  </si>
  <si>
    <t>Tianlong 3 Heavy</t>
    <phoneticPr fontId="1" type="noConversion"/>
  </si>
  <si>
    <t>天龙3H</t>
    <phoneticPr fontId="1" type="noConversion"/>
  </si>
  <si>
    <t>【一级变推比30%，可悬停】</t>
    <phoneticPr fontId="1" type="noConversion"/>
  </si>
  <si>
    <t>Pallas 1</t>
    <phoneticPr fontId="1" type="noConversion"/>
  </si>
  <si>
    <t>智神星一号</t>
    <phoneticPr fontId="1" type="noConversion"/>
  </si>
  <si>
    <t>回龙二号</t>
    <phoneticPr fontId="1" type="noConversion"/>
  </si>
  <si>
    <t>Huilong 2</t>
    <phoneticPr fontId="1" type="noConversion"/>
  </si>
  <si>
    <t>https://www.landspace.com/</t>
    <phoneticPr fontId="1" type="noConversion"/>
  </si>
  <si>
    <t>虽然官网写6吨，但很难相信</t>
    <phoneticPr fontId="1" type="noConversion"/>
  </si>
  <si>
    <t>其实6吨应该是3级版的朱雀2A</t>
    <phoneticPr fontId="1" type="noConversion"/>
  </si>
  <si>
    <t>https://mp.weixin.qq.com/s/O1kGc6OZFP6Gmqhhuxggxg</t>
    <phoneticPr fontId="1" type="noConversion"/>
  </si>
  <si>
    <t>就你不能回收是吧</t>
    <phoneticPr fontId="1" type="noConversion"/>
  </si>
  <si>
    <t>7台TH11，真空比冲根据NK系列发动机猜测</t>
  </si>
  <si>
    <t>1台TH11真空版</t>
  </si>
  <si>
    <t>http://www.i-space.com.cn/</t>
    <phoneticPr fontId="1" type="noConversion"/>
  </si>
  <si>
    <t>http://www.spacepioneer.cc/</t>
    <phoneticPr fontId="1" type="noConversion"/>
  </si>
  <si>
    <t>有点勉强，有点吹逼了</t>
    <phoneticPr fontId="1" type="noConversion"/>
  </si>
  <si>
    <t>Tianlong 2+</t>
    <phoneticPr fontId="1" type="noConversion"/>
  </si>
  <si>
    <t>天龙2号改进型</t>
    <phoneticPr fontId="1" type="noConversion"/>
  </si>
  <si>
    <t>天龙3号改进型</t>
    <phoneticPr fontId="1" type="noConversion"/>
  </si>
  <si>
    <t>天龙3改大干质比版</t>
  </si>
  <si>
    <t>500km SSO</t>
    <phoneticPr fontId="1" type="noConversion"/>
  </si>
  <si>
    <t>500km SSO</t>
    <phoneticPr fontId="1" type="noConversion"/>
  </si>
  <si>
    <t>LEO想到PPT上的68很难嘛</t>
    <phoneticPr fontId="1" type="noConversion"/>
  </si>
  <si>
    <t>天龙3的CBC重猎版</t>
    <phoneticPr fontId="1" type="noConversion"/>
  </si>
  <si>
    <t>7台苍穹。真空比冲瞎写的，我也不知道</t>
  </si>
  <si>
    <t>1台苍穹真空版</t>
  </si>
  <si>
    <t>【一级变推比25%，可悬停】</t>
    <phoneticPr fontId="1" type="noConversion"/>
  </si>
  <si>
    <t>https://www.galactic-energy.cn/</t>
    <phoneticPr fontId="1" type="noConversion"/>
  </si>
  <si>
    <t>国内各家民营航天公司的火箭或PPT。不保证数据和计算的准确性（干质比和一二级质量都是猜的。。讲真需要进一步优化一二级重量比例，但我不会，屑）</t>
    <phoneticPr fontId="1" type="noConversion"/>
  </si>
  <si>
    <t>蓝箭航天朱雀2，液氧甲烷</t>
    <phoneticPr fontId="1" type="noConversion"/>
  </si>
  <si>
    <t>星际荣耀双曲线3，液氧甲烷，不知何年</t>
    <phoneticPr fontId="1" type="noConversion"/>
  </si>
  <si>
    <t>天兵科技天龙2，液氧煤油</t>
    <phoneticPr fontId="1" type="noConversion"/>
  </si>
  <si>
    <t>【本应3级，改进后是2级】</t>
  </si>
  <si>
    <t>天龙3早期版本，液氧煤油</t>
    <phoneticPr fontId="1" type="noConversion"/>
  </si>
  <si>
    <t>（2024真能飞吗？？）</t>
    <phoneticPr fontId="1" type="noConversion"/>
  </si>
  <si>
    <t>星河动力智神星1号，液氧煤油</t>
    <phoneticPr fontId="1" type="noConversion"/>
  </si>
  <si>
    <t>2个2.25m油箱，优先消耗并扔掉，因为没有发动机所以干质比高。</t>
  </si>
  <si>
    <t>2个2.25m油箱。上面扔了油箱没扔发动机所以仍然保持推力。</t>
  </si>
  <si>
    <t>7台红龙1。高压半开式，海平面303，真空335。3.35m箭体。</t>
  </si>
  <si>
    <t>1台红龙1。↑上面第3级发动机全安在芯级所以干质比低。↑</t>
  </si>
  <si>
    <t>【个人设想是坎巴拉式环路供油抛储箱，仅限个人猜测】</t>
    <phoneticPr fontId="1" type="noConversion"/>
  </si>
  <si>
    <t>天回航天回龙2，疑似抛储箱火箭，否则运力咋这么大</t>
    <phoneticPr fontId="1" type="noConversion"/>
  </si>
  <si>
    <t>抛储箱的想法仅限个人猜测</t>
    <phoneticPr fontId="1" type="noConversion"/>
  </si>
  <si>
    <t>实际上感觉运力大只是吹逼，</t>
    <phoneticPr fontId="1" type="noConversion"/>
  </si>
  <si>
    <t>但半开式循环是真的牛逼</t>
    <phoneticPr fontId="1" type="noConversion"/>
  </si>
  <si>
    <t>【从公众号问到LEO 13.8。】</t>
    <phoneticPr fontId="1" type="noConversion"/>
  </si>
  <si>
    <t>甲烷+不锈钢+悬停能力+溅落回收，很有两把刷子</t>
    <phoneticPr fontId="1" type="noConversion"/>
  </si>
  <si>
    <t>以开式推重比，比肩补燃比冲！！！</t>
    <phoneticPr fontId="1" type="noConversion"/>
  </si>
  <si>
    <t>献祭比冲，换取推重比和变推比</t>
    <phoneticPr fontId="1" type="noConversion"/>
  </si>
  <si>
    <t>http://www.spacecircling.com.cn/</t>
    <phoneticPr fontId="1" type="noConversion"/>
  </si>
  <si>
    <t>9台九州云箭龙云，不锈钢储箱干质比低，龙云推重比也低</t>
  </si>
  <si>
    <t>1台龙云真空版</t>
  </si>
  <si>
    <t>4台天鹊12</t>
  </si>
  <si>
    <t>1台天鹊12真空+1台TQ11游机</t>
  </si>
  <si>
    <t>7台天火12，前期干质比别指望太高</t>
  </si>
  <si>
    <t>1台天火12真空版</t>
  </si>
  <si>
    <t>7台天火12，架空一个后期干质比高的</t>
  </si>
  <si>
    <t>1台天火12真空版，改大喷管</t>
  </si>
  <si>
    <t>7台天火12，因为运力不到要求，提高了干质比。</t>
  </si>
  <si>
    <t>7台天火12，芯级加高了</t>
  </si>
  <si>
    <t>2台天火12真空版</t>
  </si>
  <si>
    <t>1台焦点2真空版</t>
    <phoneticPr fontId="1" type="noConversion"/>
  </si>
  <si>
    <t>30台200t全流量甲烷，比冲取自某论文（但推力不是，是PPT的）</t>
    <phoneticPr fontId="1" type="noConversion"/>
  </si>
  <si>
    <t>3.8m开式甲烷</t>
    <phoneticPr fontId="1" type="noConversion"/>
  </si>
  <si>
    <t>4m开式甲烷</t>
    <phoneticPr fontId="1" type="noConversion"/>
  </si>
  <si>
    <t>4m Open Metha</t>
    <phoneticPr fontId="1" type="noConversion"/>
  </si>
  <si>
    <t>7m开式甲烷</t>
    <phoneticPr fontId="1" type="noConversion"/>
  </si>
  <si>
    <t>7m Open Metha</t>
    <phoneticPr fontId="1" type="noConversion"/>
  </si>
  <si>
    <t>3.8m Open Metha</t>
    <phoneticPr fontId="1" type="noConversion"/>
  </si>
  <si>
    <t>5m全流量甲烷</t>
    <phoneticPr fontId="1" type="noConversion"/>
  </si>
  <si>
    <t>5m FFSC Metha</t>
    <phoneticPr fontId="1" type="noConversion"/>
  </si>
  <si>
    <t>7.5m全流量甲烷</t>
    <phoneticPr fontId="1" type="noConversion"/>
  </si>
  <si>
    <t>7.5m FFSC Metha</t>
    <phoneticPr fontId="1" type="noConversion"/>
  </si>
  <si>
    <t>7m全流量甲烷</t>
    <phoneticPr fontId="1" type="noConversion"/>
  </si>
  <si>
    <t>7m FFSC Metha</t>
    <phoneticPr fontId="1" type="noConversion"/>
  </si>
  <si>
    <t>3.8m Kero 5CBC</t>
    <phoneticPr fontId="1" type="noConversion"/>
  </si>
  <si>
    <t>3.8m煤油</t>
    <phoneticPr fontId="1" type="noConversion"/>
  </si>
  <si>
    <t>3.8m Kero</t>
    <phoneticPr fontId="1" type="noConversion"/>
  </si>
  <si>
    <t>3.8m煤油5CBC</t>
    <phoneticPr fontId="1" type="noConversion"/>
  </si>
  <si>
    <t>5台YF209</t>
  </si>
  <si>
    <t>1台YF209真空版</t>
  </si>
  <si>
    <t>八院论文，用YF209的3.8m甲烷</t>
    <phoneticPr fontId="1" type="noConversion"/>
  </si>
  <si>
    <t>700km SSO</t>
    <phoneticPr fontId="1" type="noConversion"/>
  </si>
  <si>
    <t>八院论文，用YF209的4m甲烷</t>
  </si>
  <si>
    <t>9台YF209增推版</t>
  </si>
  <si>
    <t>1台YF209增推真空版</t>
  </si>
  <si>
    <t>八院论文，用YF209的7m甲烷</t>
  </si>
  <si>
    <t>22台YF209增推版，用了共底储箱干质比给高点</t>
  </si>
  <si>
    <t>2台YF209增推真空版</t>
  </si>
  <si>
    <t>官方PPT，全流量5m甲烷</t>
  </si>
  <si>
    <t>5台200t国产FFSC，但没用PPT的比冲，用论文比冲（海319真357）</t>
  </si>
  <si>
    <t>1台200t国产FFSC真空版，是不是推力太大了。。</t>
  </si>
  <si>
    <t>官方PPT，全流量7.5m甲烷</t>
  </si>
  <si>
    <t>9台200t国产FFSC，比冲同上</t>
  </si>
  <si>
    <t>1台200t国产FFSC真空版</t>
  </si>
  <si>
    <t>根据官方新PPT改，2次回收登月</t>
  </si>
  <si>
    <t>13台200t国产FFSC，7m直径</t>
  </si>
  <si>
    <t>2台200t国产FFSC真空版</t>
  </si>
  <si>
    <t>1台YF91</t>
  </si>
  <si>
    <t>官方建议的发展方向</t>
    <phoneticPr fontId="1" type="noConversion"/>
  </si>
  <si>
    <t>加个三级能回收登月了（见我自创）</t>
    <phoneticPr fontId="1" type="noConversion"/>
  </si>
  <si>
    <t>八院竞标失败的921光杆方案</t>
  </si>
  <si>
    <t>4台YF100K，干质比用飞行时序算出来的，正正好13</t>
  </si>
  <si>
    <t>2台YF115，飞行时序算不出干质比，因为节流了</t>
  </si>
  <si>
    <t>八院竞标失败的921四助推方案</t>
  </si>
  <si>
    <t>4台YF100K</t>
  </si>
  <si>
    <t>几种空天飞机PPT。不保证数据和计算的准确性。</t>
    <phoneticPr fontId="1" type="noConversion"/>
  </si>
  <si>
    <t>云龙动力空天飞机</t>
    <phoneticPr fontId="1" type="noConversion"/>
  </si>
  <si>
    <t>Yunlong*4 SSTO</t>
    <phoneticPr fontId="1" type="noConversion"/>
  </si>
  <si>
    <t>云霄塔</t>
    <phoneticPr fontId="1" type="noConversion"/>
  </si>
  <si>
    <t>Skylon</t>
    <phoneticPr fontId="1" type="noConversion"/>
  </si>
  <si>
    <t>腾云工程</t>
    <phoneticPr fontId="1" type="noConversion"/>
  </si>
  <si>
    <t>Tengyun Project</t>
    <phoneticPr fontId="1" type="noConversion"/>
  </si>
  <si>
    <t>冒险星</t>
    <phoneticPr fontId="1" type="noConversion"/>
  </si>
  <si>
    <t>VentureStar</t>
    <phoneticPr fontId="1" type="noConversion"/>
  </si>
  <si>
    <t>MAKS-T</t>
    <phoneticPr fontId="1" type="noConversion"/>
  </si>
  <si>
    <t>MAKS空天飞机</t>
    <phoneticPr fontId="1" type="noConversion"/>
  </si>
  <si>
    <t>航天科工云龙动力SSTO【算不准】</t>
  </si>
  <si>
    <t>4台云龙预冷动力，推力凑海平面80t。吸气模式只耗燃料，干质比∞</t>
  </si>
  <si>
    <t>4台云龙的火箭模式，去掉吸气段消耗的液氢，凑dV6800</t>
  </si>
  <si>
    <t>2台SABRE吸气模式，推力也是凑海平面，燃料查的用户手册图表</t>
  </si>
  <si>
    <t>2台SABRE火箭模式，去掉吸气段消耗的液氢。↑吸气段比冲取平均↑</t>
  </si>
  <si>
    <t>航天科工腾云工程TSTO【算不准】</t>
  </si>
  <si>
    <t>6台某型TRRE发动机，三个模态一起计算，推力凑海平面，比冲瞎写</t>
  </si>
  <si>
    <t>某种火箭发动机，这里猜2台YF79，干质比瞎写，得考虑机翼自重。</t>
  </si>
  <si>
    <t>1台RD701三组元模式。干质量只是整流罩，燃料用总时间440s算出</t>
  </si>
  <si>
    <t>1台RD701氢氧模式。尼玛干质比这么高（总体是12）</t>
  </si>
  <si>
    <t>相当于把飞机部分算作载荷</t>
    <phoneticPr fontId="1" type="noConversion"/>
  </si>
  <si>
    <t>啥也找不到啊。</t>
    <phoneticPr fontId="1" type="noConversion"/>
  </si>
  <si>
    <t>感觉一台YF77是不是更合适？</t>
    <phoneticPr fontId="1" type="noConversion"/>
  </si>
  <si>
    <t>http://www.astronautix.com/m/maks.html</t>
    <phoneticPr fontId="1" type="noConversion"/>
  </si>
  <si>
    <t>http://www.buran.ru/htm/molniya6.htm</t>
    <phoneticPr fontId="1" type="noConversion"/>
  </si>
  <si>
    <t>http://www.astronautix.com/r/rs-2200.html</t>
    <phoneticPr fontId="1" type="noConversion"/>
  </si>
  <si>
    <t>http://www.astronautix.com/v/venturestar.html</t>
    <phoneticPr fontId="1" type="noConversion"/>
  </si>
  <si>
    <t>美国洛马线性气尖SSTO</t>
    <phoneticPr fontId="1" type="noConversion"/>
  </si>
  <si>
    <t>英国云霄塔SSTO【算不准】</t>
    <phoneticPr fontId="1" type="noConversion"/>
  </si>
  <si>
    <t>7台RS2200线性气尖，猜的干质比</t>
    <phoneticPr fontId="1" type="noConversion"/>
  </si>
  <si>
    <t>需要的干质比不低啊。</t>
    <phoneticPr fontId="1" type="noConversion"/>
  </si>
  <si>
    <t>苏联MAKS SSTO全抛版（空射，写真空比冲</t>
    <phoneticPr fontId="1" type="noConversion"/>
  </si>
  <si>
    <t>主要看第二级dV够不够</t>
    <phoneticPr fontId="1" type="noConversion"/>
  </si>
  <si>
    <t>一级能飞到7马赫</t>
    <phoneticPr fontId="1" type="noConversion"/>
  </si>
  <si>
    <t>主要看火箭段dV够不够</t>
    <phoneticPr fontId="1" type="noConversion"/>
  </si>
  <si>
    <t>主要看火箭段dV够不够</t>
    <phoneticPr fontId="1" type="noConversion"/>
  </si>
  <si>
    <t>吸气段能飞到5马赫</t>
    <phoneticPr fontId="1" type="noConversion"/>
  </si>
  <si>
    <t>主要用于空射核导弹和战时补星</t>
    <phoneticPr fontId="1" type="noConversion"/>
  </si>
  <si>
    <t>民用用途不大，毕竟才2t</t>
    <phoneticPr fontId="1" type="noConversion"/>
  </si>
  <si>
    <t>不过即使下调运力到20t，dV变化也不大</t>
    <phoneticPr fontId="1" type="noConversion"/>
  </si>
  <si>
    <t>战犬金龟9号</t>
    <phoneticPr fontId="1" type="noConversion"/>
  </si>
  <si>
    <t>Dorr Hound 9</t>
    <phoneticPr fontId="1" type="noConversion"/>
  </si>
  <si>
    <t>战犬金龟9B</t>
    <phoneticPr fontId="1" type="noConversion"/>
  </si>
  <si>
    <t>Dorr Hound 9B</t>
    <phoneticPr fontId="1" type="noConversion"/>
  </si>
  <si>
    <t>战犬金龟5号</t>
    <phoneticPr fontId="1" type="noConversion"/>
  </si>
  <si>
    <t>Dorr Hound 5</t>
    <phoneticPr fontId="1" type="noConversion"/>
  </si>
  <si>
    <t>王大爺10号</t>
    <phoneticPr fontId="1" type="noConversion"/>
  </si>
  <si>
    <t>Wang 10</t>
    <phoneticPr fontId="1" type="noConversion"/>
  </si>
  <si>
    <t>王大爺10B</t>
    <phoneticPr fontId="1" type="noConversion"/>
  </si>
  <si>
    <t>Wang 10B</t>
    <phoneticPr fontId="1" type="noConversion"/>
  </si>
  <si>
    <t>全球吃素5号</t>
    <phoneticPr fontId="1" type="noConversion"/>
  </si>
  <si>
    <t>Global Vegan 5</t>
    <phoneticPr fontId="1" type="noConversion"/>
  </si>
  <si>
    <t>全球吃素5改</t>
    <phoneticPr fontId="1" type="noConversion"/>
  </si>
  <si>
    <t>Global Vegan 5G</t>
    <phoneticPr fontId="1" type="noConversion"/>
  </si>
  <si>
    <t>hi999zzz 5号</t>
    <phoneticPr fontId="1" type="noConversion"/>
  </si>
  <si>
    <t>hi999zzz 5</t>
    <phoneticPr fontId="1" type="noConversion"/>
  </si>
  <si>
    <t>hi999zzz 10号</t>
    <phoneticPr fontId="1" type="noConversion"/>
  </si>
  <si>
    <t>hi999zzz 10C</t>
    <phoneticPr fontId="1" type="noConversion"/>
  </si>
  <si>
    <t>hi999zzz 10C</t>
    <phoneticPr fontId="1" type="noConversion"/>
  </si>
  <si>
    <t>hi999zzz 10</t>
    <phoneticPr fontId="1" type="noConversion"/>
  </si>
  <si>
    <t>hi999zzz 10C改</t>
    <phoneticPr fontId="1" type="noConversion"/>
  </si>
  <si>
    <t>hi999zzz 10CG</t>
    <phoneticPr fontId="1" type="noConversion"/>
  </si>
  <si>
    <t>战犬金龟虚构的增大上面级长九</t>
  </si>
  <si>
    <t>18+9+3=30台YF130/2，这是作图能放下的极限了（拓展12m大底）</t>
  </si>
  <si>
    <t>4台YF90，也基本是10m直径的极限了</t>
  </si>
  <si>
    <t>1台YF90，加装大喷管提高比冲</t>
  </si>
  <si>
    <t>虚构的增大上面级的二级长九</t>
  </si>
  <si>
    <t>30台YF130/2，加了发动机干质比就不提太高了，用于近地复用</t>
  </si>
  <si>
    <t>4台YF90，只回收昂贵的氢氧机，分离后热盾+伞降回收</t>
  </si>
  <si>
    <t>300！</t>
    <phoneticPr fontId="1" type="noConversion"/>
  </si>
  <si>
    <t>140！</t>
    <phoneticPr fontId="1" type="noConversion"/>
  </si>
  <si>
    <t>100！！！</t>
    <phoneticPr fontId="1" type="noConversion"/>
  </si>
  <si>
    <t>（好像打过4.3t）</t>
    <phoneticPr fontId="1" type="noConversion"/>
  </si>
  <si>
    <t>吧友王大爺虚构的3助推长10，</t>
  </si>
  <si>
    <t>7台YF100K，芯级加固减少干质比，以及芯级节流更狠了</t>
  </si>
  <si>
    <t>想只回收助推但运力不小于长10</t>
  </si>
  <si>
    <t>吧友全球吃素虚构的国产土星5</t>
  </si>
  <si>
    <t>28台YF100N，10m直径</t>
  </si>
  <si>
    <t>7台YF77真空版，比冲稍微大一点</t>
  </si>
  <si>
    <t>10台YF135</t>
  </si>
  <si>
    <t>1台YF135真空版，比冲瞎写的</t>
  </si>
  <si>
    <t>把长十二级换氢氧再回收</t>
  </si>
  <si>
    <t>2台YF91</t>
  </si>
  <si>
    <t>1台YF79</t>
  </si>
  <si>
    <t>把长十光杆二级换氢氧</t>
  </si>
  <si>
    <t>把长十光杆二级缩短加三级氢氧</t>
  </si>
  <si>
    <t>1台YF100M，比长10的二级少，为加固也减少干质比</t>
  </si>
  <si>
    <t>某PPT回收运力100t，</t>
    <phoneticPr fontId="1" type="noConversion"/>
  </si>
  <si>
    <t>因此没按计算的回收油耗来</t>
    <phoneticPr fontId="1" type="noConversion"/>
  </si>
  <si>
    <t>而是瞎写的0.11</t>
    <phoneticPr fontId="1" type="noConversion"/>
  </si>
  <si>
    <t>回收油耗根据助推dV与猎鹰9一级dV的区别，进行大体估计。</t>
    <phoneticPr fontId="1" type="noConversion"/>
  </si>
  <si>
    <t>↓25台的版本，能上34吧。</t>
    <phoneticPr fontId="1" type="noConversion"/>
  </si>
  <si>
    <t>其实根据某个计算，</t>
    <phoneticPr fontId="1" type="noConversion"/>
  </si>
  <si>
    <t>700km SSO dV = LEO + 720m/s</t>
    <phoneticPr fontId="1" type="noConversion"/>
  </si>
  <si>
    <t>我这不是很准，但是趋势差不多</t>
    <phoneticPr fontId="1" type="noConversion"/>
  </si>
  <si>
    <t>一个新格伦下去了。。</t>
    <phoneticPr fontId="1" type="noConversion"/>
  </si>
  <si>
    <t>250！</t>
    <phoneticPr fontId="1" type="noConversion"/>
  </si>
  <si>
    <t>可惜没上200</t>
    <phoneticPr fontId="1" type="noConversion"/>
  </si>
  <si>
    <t>够力！！</t>
    <phoneticPr fontId="1" type="noConversion"/>
  </si>
  <si>
    <t>1级dV多了，可能回收油耗也多</t>
    <phoneticPr fontId="1" type="noConversion"/>
  </si>
  <si>
    <t>反正27搞定了</t>
    <phoneticPr fontId="1" type="noConversion"/>
  </si>
  <si>
    <t>吧友王大爺虚构的二级半版</t>
    <phoneticPr fontId="1" type="noConversion"/>
  </si>
  <si>
    <t>上面的改版，1次全抛或2次回收登月</t>
    <phoneticPr fontId="1" type="noConversion"/>
  </si>
  <si>
    <t>1次全抛或2次回收登月</t>
  </si>
  <si>
    <t>仍为上面的改版，2次回收登月</t>
    <phoneticPr fontId="1" type="noConversion"/>
  </si>
  <si>
    <t>二级改成煤油了</t>
    <phoneticPr fontId="1" type="noConversion"/>
  </si>
  <si>
    <t>回收油耗有根据dV调整</t>
    <phoneticPr fontId="1" type="noConversion"/>
  </si>
  <si>
    <t>结论：（随便写的，不是很全）</t>
  </si>
  <si>
    <t>土5按118LEO和43.5TLI，分别是10055.4和12932.2。这个貌似是估计dV的最大值了吧。</t>
  </si>
  <si>
    <t>土5按140LEO和48.6TLI，分别是9543.3和12630.1。这个可以看作估计dV的最小值。</t>
  </si>
  <si>
    <t>长9按土5最小算，同样dV，是185LEO和70TLI。</t>
  </si>
  <si>
    <t>长9按土5最大算，同样dV，是220LEO和78TLI。两者用相同dV大概可以，因为长9一级推重比超过土5，二级推重比低于土5。</t>
  </si>
  <si>
    <t>长10按27TLI算，dV在13207.3左右。可见，还可以再大一些【大很多好吧，30都行了】，不过考虑到长10推重比不是那么大，我就留了点dV余量。</t>
  </si>
  <si>
    <t>光杆长10，回收运力会掉很多，也许是二级我应该给的干质比再大一些。（二级不需要承重太大。）</t>
  </si>
  <si>
    <t>fh靠超大推重比，极少dV即可完成一些操作。这个不考虑。</t>
  </si>
  <si>
    <t>固推火箭因为推重比，需要的dV普遍低，但由于固推在发射后推力会衰减，导致计算dV比实际大很多。这有一些补偿。</t>
  </si>
  <si>
    <t>SLS的dV就高的离谱，什么地方出错了（不过后面好像改了之后好了一些）？以及安加拉A5加微风M上面级更是这样。</t>
  </si>
  <si>
    <t>天回航天抛储箱这事是我瞎想的，实际上貌似只是质子号构型（这你们也学？肯定比不过光杆共底啊。）发动机非常牛逼的，别被垃圾构型坑了啊。</t>
  </si>
  <si>
    <t>天龙3只需要14的干质比，元行者只需要11和10的干质比。还是很符合实际状况的，两位名字带“科技”的民营火箭公司加油啊。</t>
  </si>
  <si>
    <t>八院那个开式甲烷，说是“前场返回”，这个并不是飞回发射场，而是飞去前面的着陆场（和海上回收类似）。飞回发射场叫“原场返回”。</t>
  </si>
  <si>
    <t>另外，云龙是照片PPT里的数据，云霄塔是论文和用户手册里的数据。云龙最后算出来其实可能能到22吨，见Excel，谁知道PPT的19.2是啥轨道。</t>
  </si>
  <si>
    <t>最后再加上理想dV就是最终dV了！</t>
  </si>
  <si>
    <t>这个理想dV貌似是假设在0km高度达到第一宇宙速度，之后再霍曼转移到目标轨道。。应该吧（</t>
  </si>
  <si>
    <t>上面四个是用猎鹰9在卡角打的LEO，和在酒泉打的SSO比较的</t>
  </si>
  <si>
    <t>另外：上面是打32.6度LEO，如果是打42度LEO，要在刚才LEO基础上加上50；文昌打19度则比卡角打32.6度减去50。</t>
  </si>
  <si>
    <t>最后的最后，还需要加上一级在海平面比冲上浪费掉的dV。这个就不清楚了，看感觉吧，一般也就二三百不到。</t>
  </si>
  <si>
    <t>Titan IV/Centaur:   Gravity Loss: 1442 m/s    Drag Loss: 156 m/s</t>
  </si>
  <si>
    <t>文昌19.3度，200km轨道理想dV：7592.2 m/s（已经考虑了自转影响）</t>
  </si>
  <si>
    <t>卡角28.5度，200km轨道理想dV：7622.3 m/s</t>
  </si>
  <si>
    <t>无自转所需dV：8031.0 m/s（其实是拿90度纬度打90度倾角算的）</t>
  </si>
  <si>
    <t>至于Launcher Calculator给出的SSO dV：【感觉准确度不高，至少国内不这样算，天知道为什么】</t>
  </si>
  <si>
    <t>500km SSO: 200km LEO dV + 610 m/s</t>
  </si>
  <si>
    <t>600km SSO: 200km LEO dV + 670 m/s</t>
  </si>
  <si>
    <t>700km SSO: 200km LEO dV + 720 m/s</t>
  </si>
  <si>
    <t>1100km SSO: 200km LEO dV + 940 m/s</t>
  </si>
  <si>
    <t>Saturn V:         Gravity Loss: 1534 m/s    Drag Loss: 40 m/s (!!)</t>
    <phoneticPr fontId="1" type="noConversion"/>
  </si>
  <si>
    <t>Shuttle:         Gravity Loss: 1222 m/s    Drag Loss: 107 m/s</t>
    <phoneticPr fontId="1" type="noConversion"/>
  </si>
  <si>
    <t>Delta 7925:       Gravity Loss: 1150 m/s    Drag Loss: 136 m/s</t>
    <phoneticPr fontId="1" type="noConversion"/>
  </si>
  <si>
    <t>Atlas I:         Gravity Loss: 1395 m/s    Drag Loss: 110 m/s</t>
    <phoneticPr fontId="1" type="noConversion"/>
  </si>
  <si>
    <t>Ariane A-44L:      Gravity Loss: 1576 m/s    Drag Loss: 135 m/s</t>
    <phoneticPr fontId="1" type="noConversion"/>
  </si>
  <si>
    <t>长10近地版先按70算，这样都10021.6dV了。而长5B其实也就9660dV，所以这个70基本是太太太保守了。【可能我干质比取高了，毕竟国家队干质比是很保守的了。。】</t>
    <phoneticPr fontId="1" type="noConversion"/>
  </si>
  <si>
    <t>星舰勉强达到250和150的要求，就是干质比有点逆天（我也不想给设高，但不这样达不到要求了），在这种情况下，没回收二级，不过给二级留了点燃料。</t>
    <phoneticPr fontId="1" type="noConversion"/>
  </si>
  <si>
    <t>【星舰这个数据很怪，猛禽1缩小了面积比放大了推力，按理说应该对海平面优化的更好，但海平面比冲好像还掉了。。真空比冲是当然得掉了】</t>
  </si>
  <si>
    <t>【至于其他的回收燃料比例】：用f9一级参考，要求其一级回收花费的dV和f9一样【但后来我又考虑到不同一级发射时提供的dV不同，回收时可能也有区别】，我用个excel另外计算了。见“火箭小工具.xls”</t>
    <phoneticPr fontId="1" type="noConversion"/>
  </si>
  <si>
    <t>官方的回收运力，有点偏大</t>
    <phoneticPr fontId="1" type="noConversion"/>
  </si>
  <si>
    <t>对于其他长征火箭：请主（官方）传输质量和干质比数据！98年的长二长三长四都能大胆放出来，结果长五长七长八的参数一个都没有。这可咋算啊。</t>
    <phoneticPr fontId="1" type="noConversion"/>
  </si>
  <si>
    <t>f9推重比也大，dV也少。回收时留的燃料比例是凑dV凑出来的；但用GTO回收运力5.5和用LEO回收16.7凑，都是同一个值0.115，说明了准确性。【现在换了数据之后，是0.092，但感觉更准了】</t>
    <phoneticPr fontId="1" type="noConversion"/>
  </si>
  <si>
    <t>空天飞机咋整？预冷动力相对好弄。【仅供参考】云龙二级所需dV：假设按火箭算是9600。空射时，省掉1700的5马赫速度【这里我猜错了，云霄塔文献上用的是高空马赫】；省掉850的重力税【凑的】；</t>
    <phoneticPr fontId="1" type="noConversion"/>
  </si>
  <si>
    <t>https://forum.nasaspaceflight.com/index.php?topic=33135.0</t>
    <phoneticPr fontId="1" type="noConversion"/>
  </si>
  <si>
    <t>https://launchercalculator.com/</t>
    <phoneticPr fontId="1" type="noConversion"/>
  </si>
  <si>
    <t>下面是Launcher Calculator给出的理想dV：【Launcher Calculator可能是最好的网页光杆火箭计算器了，可惜只能算光杆。】</t>
    <phoneticPr fontId="1" type="noConversion"/>
  </si>
  <si>
    <t>至于目标dV这方面，摘抄到了一些很有用的东西，不过貌似重力损失少了点但无伤大雅。</t>
    <phoneticPr fontId="1" type="noConversion"/>
  </si>
  <si>
    <t>腾云：目前已有的飞机里最像腾云的是XB70女武神了，空重115，燃料+载荷130。而腾云是180吨重量，放大知空重84.5，燃料+载荷95.5；虽然现在机翼材料比XB70更轻，但三模态发动机重量也更沉。</t>
    <phoneticPr fontId="1" type="noConversion"/>
  </si>
  <si>
    <t xml:space="preserve">  再由于这是真空dV，所以会多算150左右的海平面损耗，也省掉；然后阻力也省掉100。反正都交给一级了，最后二级需要6800。</t>
    <phoneticPr fontId="1" type="noConversion"/>
  </si>
  <si>
    <t xml:space="preserve">  做个对比：猎鹰9在回收时，分离速度2250，一级dV3162，二级dV6106。一级dV比分离速度多了900，而不是1200？大概是准的，因为猎鹰9重力税很小的。</t>
    <phoneticPr fontId="1" type="noConversion"/>
  </si>
  <si>
    <t xml:space="preserve">  差不多了，应该没问题了？感觉问题很大（分离时高度对不上，二级推重比也不知道多少。）</t>
    <phoneticPr fontId="1" type="noConversion"/>
  </si>
  <si>
    <t>但最后算出来云霄塔D1二级只需要尼玛6650就行，这么点？而且分离速度是5.2马赫，1550m/s左右。云龙和云霄塔比起来，按照和全重的比例来算，干重差不多，载荷云龙少0.6%，燃料云霄塔少0.6%，一下dV差开一些了</t>
    <phoneticPr fontId="1" type="noConversion"/>
  </si>
  <si>
    <t>朱雀和长征二号系列很骚的，二级推重比贼大。据说是由于当时导弹改过来才这样的。</t>
    <phoneticPr fontId="1" type="noConversion"/>
  </si>
  <si>
    <t xml:space="preserve">  飞羽社推测40t氢氧子机或者54t煤油子机，谁知道呢。反正算不准，一级比冲就瞎取了，三个模态也统一成一个。不过腾云一二级分离应该是7马赫也就是2100m/s，二级可以从6800扣到6200。一级倒是要再加600？加1000都可能（</t>
    <phoneticPr fontId="1" type="noConversion"/>
  </si>
  <si>
    <t xml:space="preserve">  （虽然好像不多，但如果把火箭部分的dV拉到相同，吸气的dV差的就大了。</t>
    <phoneticPr fontId="1" type="noConversion"/>
  </si>
  <si>
    <t>最后，把一些常用火箭参数网站放在这里：</t>
    <phoneticPr fontId="1" type="noConversion"/>
  </si>
  <si>
    <t>http://www.b14643.de/</t>
    <phoneticPr fontId="1" type="noConversion"/>
  </si>
  <si>
    <t>http://www.astronautix.com/</t>
  </si>
  <si>
    <t>https://www.spaceflightinsider.com/hangar/</t>
    <phoneticPr fontId="1" type="noConversion"/>
  </si>
  <si>
    <t>没几种，不过是猎鹰9数据的来源</t>
    <phoneticPr fontId="1" type="noConversion"/>
  </si>
  <si>
    <t>https://en.wikipedia.org/</t>
    <phoneticPr fontId="1" type="noConversion"/>
  </si>
  <si>
    <t>别忘了万能的维基百科</t>
    <phoneticPr fontId="1" type="noConversion"/>
  </si>
  <si>
    <t>典中典，啥都有，虽然准确率不一定高（主要是二级有些编的）</t>
    <phoneticPr fontId="1" type="noConversion"/>
  </si>
  <si>
    <t>也是啥都有，不过写的很乱不方便看</t>
    <phoneticPr fontId="1" type="noConversion"/>
  </si>
  <si>
    <t>https://navi.cnki.net/knavi/journals/ZGHT/detail</t>
  </si>
  <si>
    <t>在里面搜索“长征系列运载火箭介绍”能找到2000年之前的长征火箭</t>
    <phoneticPr fontId="1" type="noConversion"/>
  </si>
  <si>
    <t>1，该模板可以通过各种输入数据计算火箭的推比和dV。使用时直接将模板黑线区域内复制到别的地方使用。然后在绿色方框内填数字，其他地方会自动计算或报错。</t>
    <phoneticPr fontId="1" type="noConversion"/>
  </si>
  <si>
    <r>
      <t>7</t>
    </r>
    <r>
      <rPr>
        <sz val="11"/>
        <color theme="1"/>
        <rFont val="宋体"/>
        <family val="2"/>
        <scheme val="minor"/>
      </rPr>
      <t>，已有列表里的</t>
    </r>
    <r>
      <rPr>
        <b/>
        <sz val="11"/>
        <color theme="1"/>
        <rFont val="宋体"/>
        <family val="3"/>
        <charset val="134"/>
        <scheme val="minor"/>
      </rPr>
      <t>所有固推dV</t>
    </r>
    <r>
      <rPr>
        <sz val="11"/>
        <color theme="1"/>
        <rFont val="宋体"/>
        <family val="2"/>
        <scheme val="minor"/>
      </rPr>
      <t>都是不可靠的，</t>
    </r>
    <r>
      <rPr>
        <b/>
        <sz val="11"/>
        <color theme="1"/>
        <rFont val="宋体"/>
        <family val="3"/>
        <charset val="134"/>
        <scheme val="minor"/>
      </rPr>
      <t>所有低于3位小数的</t>
    </r>
    <r>
      <rPr>
        <sz val="11"/>
        <color theme="1"/>
        <rFont val="宋体"/>
        <family val="2"/>
        <scheme val="minor"/>
      </rPr>
      <t>回收油耗都是不太准的，所有</t>
    </r>
    <r>
      <rPr>
        <b/>
        <sz val="11"/>
        <color theme="1"/>
        <rFont val="宋体"/>
        <family val="3"/>
        <charset val="134"/>
        <scheme val="minor"/>
      </rPr>
      <t>带助推火箭的回收运力</t>
    </r>
    <r>
      <rPr>
        <sz val="11"/>
        <color theme="1"/>
        <rFont val="宋体"/>
        <family val="2"/>
        <scheme val="minor"/>
      </rPr>
      <t>也都是不太准的。</t>
    </r>
    <phoneticPr fontId="1" type="noConversion"/>
  </si>
  <si>
    <t>6，本Excel使用干质比进行计算，因为干质比这个东西便于根据技术水平进行估计，比较直观。推力用吨也是为了直观，讨厌的9.8。dV计算时默认使用真空比冲，默认节流比例是一直以相同速率节流（会有误差但不多）。</t>
    <phoneticPr fontId="1" type="noConversion"/>
  </si>
  <si>
    <t>力箭三号</t>
  </si>
  <si>
    <t>力箭三号重型</t>
  </si>
  <si>
    <t>Kinetica-3</t>
  </si>
  <si>
    <t>Kinetica-3H</t>
  </si>
  <si>
    <t>其实是叫PR-3？</t>
  </si>
  <si>
    <t>Power Rocket 3！</t>
  </si>
  <si>
    <t>中科宇航力箭3号，PPT已取消</t>
  </si>
  <si>
    <t>只是拿官网回收运力计算回收油耗</t>
  </si>
  <si>
    <t>力箭3号CBC</t>
  </si>
  <si>
    <t>7台玄鸢二号，比冲和干质比猜的</t>
  </si>
  <si>
    <t>1台玄鸢二号真空版</t>
  </si>
  <si>
    <t>http://www.cas-space.com/product</t>
    <phoneticPr fontId="1" type="noConversion"/>
  </si>
  <si>
    <t>http://www.cas-space.com/product</t>
    <phoneticPr fontId="1" type="noConversion"/>
  </si>
  <si>
    <r>
      <t>5，如果要插入到已有列表里，请使用右上角的</t>
    </r>
    <r>
      <rPr>
        <b/>
        <sz val="11"/>
        <color theme="1"/>
        <rFont val="宋体"/>
        <family val="3"/>
        <charset val="134"/>
        <scheme val="minor"/>
      </rPr>
      <t>开始-插入</t>
    </r>
    <r>
      <rPr>
        <sz val="11"/>
        <color theme="1"/>
        <rFont val="宋体"/>
        <family val="2"/>
        <scheme val="minor"/>
      </rPr>
      <t>。先找到插入位置的后一种火箭，拖拽最左侧数字选择该火箭</t>
    </r>
    <r>
      <rPr>
        <b/>
        <sz val="11"/>
        <color theme="1"/>
        <rFont val="宋体"/>
        <family val="3"/>
        <charset val="134"/>
        <scheme val="minor"/>
      </rPr>
      <t>所有行</t>
    </r>
    <r>
      <rPr>
        <sz val="11"/>
        <color theme="1"/>
        <rFont val="宋体"/>
        <family val="2"/>
        <scheme val="minor"/>
      </rPr>
      <t>加下面</t>
    </r>
    <r>
      <rPr>
        <b/>
        <sz val="11"/>
        <color theme="1"/>
        <rFont val="宋体"/>
        <family val="3"/>
        <charset val="134"/>
        <scheme val="minor"/>
      </rPr>
      <t>1行</t>
    </r>
    <r>
      <rPr>
        <sz val="11"/>
        <color theme="1"/>
        <rFont val="宋体"/>
        <family val="2"/>
        <scheme val="minor"/>
      </rPr>
      <t>空行，共</t>
    </r>
    <r>
      <rPr>
        <b/>
        <sz val="11"/>
        <color theme="1"/>
        <rFont val="宋体"/>
        <family val="3"/>
        <charset val="134"/>
        <scheme val="minor"/>
      </rPr>
      <t>18行</t>
    </r>
    <r>
      <rPr>
        <sz val="11"/>
        <color theme="1"/>
        <rFont val="宋体"/>
        <family val="2"/>
        <scheme val="minor"/>
      </rPr>
      <t>，点击插入后，将模板粘贴进去【</t>
    </r>
    <r>
      <rPr>
        <b/>
        <sz val="11"/>
        <color theme="1"/>
        <rFont val="宋体"/>
        <family val="3"/>
        <charset val="134"/>
        <scheme val="minor"/>
      </rPr>
      <t>千万不要</t>
    </r>
    <r>
      <rPr>
        <sz val="11"/>
        <color theme="1"/>
        <rFont val="宋体"/>
        <family val="2"/>
        <scheme val="minor"/>
      </rPr>
      <t>直接用插入进行粘贴，条件格式会坏】</t>
    </r>
    <phoneticPr fontId="1" type="noConversion"/>
  </si>
  <si>
    <t>起飞质量其实应为1269，</t>
  </si>
  <si>
    <t>500km SSO 官方数据</t>
    <phoneticPr fontId="1" type="noConversion"/>
  </si>
  <si>
    <t>500km SSO 官方数据</t>
    <phoneticPr fontId="1" type="noConversion"/>
  </si>
  <si>
    <t>回收油耗也太低了。</t>
    <phoneticPr fontId="1" type="noConversion"/>
  </si>
  <si>
    <t>所以二级应为76.5</t>
    <phoneticPr fontId="1" type="noConversion"/>
  </si>
  <si>
    <t>运力咋可能这么点？？？？</t>
  </si>
  <si>
    <t>TLI</t>
    <phoneticPr fontId="1" type="noConversion"/>
  </si>
  <si>
    <t>TLI</t>
    <phoneticPr fontId="1" type="noConversion"/>
  </si>
  <si>
    <t>他妈的，要是一个助推我还信</t>
    <phoneticPr fontId="1" type="noConversion"/>
  </si>
  <si>
    <t>官方500km SSO</t>
    <phoneticPr fontId="1" type="noConversion"/>
  </si>
  <si>
    <t>官方500km SSO</t>
    <phoneticPr fontId="1" type="noConversion"/>
  </si>
  <si>
    <t>500km SSO，这才对</t>
    <phoneticPr fontId="1" type="noConversion"/>
  </si>
  <si>
    <t>在上面油耗基础上加了dV</t>
    <phoneticPr fontId="1" type="noConversion"/>
  </si>
  <si>
    <t>500km SSO，回收还算勉强合理</t>
    <phoneticPr fontId="1" type="noConversion"/>
  </si>
  <si>
    <t>不过其实发现F9一级留的燃料是冗余很多的，可能不需要留这么多（所以某些民企才敢写自己回收运力损失很小，点名下面写的力箭3号）。</t>
    <phoneticPr fontId="1" type="noConversion"/>
  </si>
  <si>
    <t xml:space="preserve">  力箭三号是纯踩着最少消耗的红线来回收，其实就是F9一级留了燃料能有2500多dV但是实际花费只用了1300，在火箭小工具里有写。然后力箭三号貌似真就用最小花费算了，所以回收消耗才少。。CBC回收时需要速度多了就亏更多了</t>
    <phoneticPr fontId="1" type="noConversion"/>
  </si>
  <si>
    <t>力箭三号，476吨，500SSO全抛7.8回收6.1；1268吨的CBC版本，还是500km，13.8和10.5（13.8的纯扯淡，大概能有20吨，10.5的回收还靠谱点，我用一级分离后剩油的dV自己调试的，不一定准但也差不多。）</t>
    <phoneticPr fontId="1" type="noConversion"/>
  </si>
  <si>
    <t>二级质量我用小工具优化的。</t>
    <phoneticPr fontId="1" type="noConversion"/>
  </si>
  <si>
    <t>和CBC算出的二级质量差5吨</t>
    <phoneticPr fontId="1" type="noConversion"/>
  </si>
  <si>
    <t>7台玄鸢二号</t>
    <phoneticPr fontId="1" type="noConversion"/>
  </si>
  <si>
    <t>7台玄鸢二号</t>
    <phoneticPr fontId="1" type="noConversion"/>
  </si>
  <si>
    <t>https://mp.weixin.qq.com/s/k1FlKndZ74PEphO9_6622Q</t>
    <phoneticPr fontId="1" type="noConversion"/>
  </si>
  <si>
    <t>这个推力很怪。</t>
    <phoneticPr fontId="1" type="noConversion"/>
  </si>
  <si>
    <t>推力过剩严重啊，</t>
    <phoneticPr fontId="1" type="noConversion"/>
  </si>
  <si>
    <t>即使海面290s也推力过剩</t>
    <phoneticPr fontId="1" type="noConversion"/>
  </si>
  <si>
    <t>8，作者：战犬金龟（贴吧/B站）。版权所有©金龟制造。（闹着玩别当真哈哈）</t>
    <phoneticPr fontId="1" type="noConversion"/>
  </si>
  <si>
    <t>最后，估测民营火箭级间比的时候，我用了火箭小工具里的级间比优化器。其实就是假定总质量和一二级干质比固定，将dV对二级质量进行求导，看看导数啥时候为0，此时应该是dV的最大值，也对应最优级间比。</t>
    <phoneticPr fontId="1" type="noConversion"/>
  </si>
  <si>
    <t>Jupiter-3 (EchoStar-24)</t>
    <phoneticPr fontId="1" type="noConversion"/>
  </si>
  <si>
    <t>真有人信这运力？</t>
    <phoneticPr fontId="1" type="noConversion"/>
  </si>
  <si>
    <t>9台焦点2，谁信海面比冲300？</t>
    <phoneticPr fontId="1" type="noConversion"/>
  </si>
  <si>
    <t>自己LEO</t>
    <phoneticPr fontId="1" type="noConversion"/>
  </si>
  <si>
    <t>毕竟这个二级推力大，二级大点正常</t>
  </si>
  <si>
    <t>用了一下级间比优化器</t>
  </si>
  <si>
    <t>自己算的回收运力</t>
    <phoneticPr fontId="1" type="noConversion"/>
  </si>
  <si>
    <t>https://web.archive.org/web/20151129034506/http://www.reactionengines.co.uk/tech_docs/SKYLON_Users_Manual_Rev_2.1.pdf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</si>
</sst>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Times New Roman"/>
      <family val="1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5">
    <border>
      <left/>
      <right/>
      <top/>
      <bottom/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B050"/>
      </left>
      <right/>
      <top style="mediumDashed">
        <color rgb="FF00B050"/>
      </top>
      <bottom/>
      <diagonal/>
    </border>
    <border>
      <left/>
      <right style="mediumDashed">
        <color rgb="FF00B050"/>
      </right>
      <top style="mediumDashed">
        <color rgb="FF00B050"/>
      </top>
      <bottom/>
      <diagonal/>
    </border>
    <border>
      <left/>
      <right style="mediumDashed">
        <color rgb="FF00B050"/>
      </right>
      <top/>
      <bottom/>
      <diagonal/>
    </border>
    <border>
      <left style="medium">
        <color rgb="FF00B050"/>
      </left>
      <right/>
      <top/>
      <bottom style="mediumDashed">
        <color rgb="FF00B050"/>
      </bottom>
      <diagonal/>
    </border>
    <border>
      <left/>
      <right style="mediumDashed">
        <color rgb="FF00B050"/>
      </right>
      <top/>
      <bottom style="mediumDashed">
        <color rgb="FF00B050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rgb="FF00B050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rgb="FF00B050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rgb="FF00B050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rgb="FF00B050"/>
      </left>
      <right style="medium">
        <color rgb="FF00B050"/>
      </right>
      <top/>
      <bottom style="medium">
        <color auto="1"/>
      </bottom>
      <diagonal/>
    </border>
    <border>
      <left style="thin">
        <color indexed="64"/>
      </left>
      <right/>
      <top style="medium">
        <color rgb="FF00B050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</cellStyleXfs>
  <cellXfs count="9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 applyAlignment="1"/>
    <xf numFmtId="0" fontId="0" fillId="0" borderId="24" xfId="0" applyBorder="1"/>
    <xf numFmtId="0" fontId="0" fillId="0" borderId="1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3" xfId="0" applyBorder="1"/>
    <xf numFmtId="0" fontId="0" fillId="0" borderId="0" xfId="0" applyFill="1" applyBorder="1" applyAlignment="1"/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Border="1"/>
    <xf numFmtId="0" fontId="2" fillId="0" borderId="23" xfId="0" applyFont="1" applyBorder="1"/>
    <xf numFmtId="0" fontId="3" fillId="0" borderId="0" xfId="0" applyFont="1" applyFill="1" applyBorder="1"/>
    <xf numFmtId="0" fontId="5" fillId="0" borderId="0" xfId="0" applyFont="1" applyFill="1" applyBorder="1"/>
    <xf numFmtId="0" fontId="3" fillId="0" borderId="11" xfId="0" applyFont="1" applyBorder="1"/>
    <xf numFmtId="0" fontId="5" fillId="0" borderId="11" xfId="0" applyFont="1" applyBorder="1"/>
    <xf numFmtId="0" fontId="7" fillId="0" borderId="27" xfId="0" applyFont="1" applyBorder="1"/>
    <xf numFmtId="0" fontId="6" fillId="0" borderId="0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23" xfId="0" applyFont="1" applyBorder="1"/>
    <xf numFmtId="0" fontId="0" fillId="0" borderId="29" xfId="0" applyBorder="1"/>
    <xf numFmtId="0" fontId="0" fillId="0" borderId="30" xfId="0" applyBorder="1"/>
    <xf numFmtId="0" fontId="3" fillId="0" borderId="23" xfId="0" applyFont="1" applyBorder="1"/>
    <xf numFmtId="0" fontId="7" fillId="0" borderId="0" xfId="0" applyFont="1" applyBorder="1"/>
    <xf numFmtId="0" fontId="3" fillId="0" borderId="24" xfId="0" applyFont="1" applyBorder="1"/>
    <xf numFmtId="0" fontId="0" fillId="0" borderId="24" xfId="0" applyBorder="1" applyAlignment="1">
      <alignment horizontal="right"/>
    </xf>
    <xf numFmtId="0" fontId="0" fillId="0" borderId="31" xfId="0" applyBorder="1"/>
    <xf numFmtId="0" fontId="2" fillId="0" borderId="24" xfId="0" applyFont="1" applyFill="1" applyBorder="1"/>
    <xf numFmtId="0" fontId="4" fillId="0" borderId="23" xfId="0" applyFont="1" applyBorder="1" applyAlignment="1"/>
    <xf numFmtId="0" fontId="5" fillId="0" borderId="16" xfId="0" applyFont="1" applyBorder="1"/>
    <xf numFmtId="0" fontId="6" fillId="0" borderId="30" xfId="0" applyFont="1" applyBorder="1"/>
    <xf numFmtId="0" fontId="6" fillId="0" borderId="15" xfId="0" applyFont="1" applyBorder="1"/>
    <xf numFmtId="0" fontId="3" fillId="0" borderId="17" xfId="0" applyFont="1" applyBorder="1"/>
    <xf numFmtId="0" fontId="4" fillId="0" borderId="0" xfId="0" applyFont="1"/>
    <xf numFmtId="0" fontId="8" fillId="0" borderId="0" xfId="0" applyFont="1"/>
    <xf numFmtId="0" fontId="10" fillId="0" borderId="0" xfId="1" applyFill="1" applyBorder="1" applyAlignment="1"/>
    <xf numFmtId="0" fontId="10" fillId="0" borderId="0" xfId="1" applyBorder="1" applyAlignment="1"/>
    <xf numFmtId="0" fontId="10" fillId="0" borderId="26" xfId="1" applyBorder="1"/>
    <xf numFmtId="0" fontId="7" fillId="0" borderId="23" xfId="0" applyFont="1" applyBorder="1"/>
    <xf numFmtId="0" fontId="10" fillId="0" borderId="23" xfId="1" applyBorder="1"/>
    <xf numFmtId="0" fontId="0" fillId="0" borderId="16" xfId="0" quotePrefix="1" applyBorder="1"/>
    <xf numFmtId="0" fontId="4" fillId="0" borderId="0" xfId="0" applyFont="1" applyBorder="1" applyAlignment="1"/>
    <xf numFmtId="0" fontId="4" fillId="0" borderId="0" xfId="0" applyFont="1" applyFill="1" applyBorder="1" applyAlignment="1"/>
    <xf numFmtId="0" fontId="10" fillId="0" borderId="0" xfId="1"/>
    <xf numFmtId="0" fontId="10" fillId="0" borderId="0" xfId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176" fontId="0" fillId="0" borderId="0" xfId="0" applyNumberFormat="1" applyBorder="1"/>
    <xf numFmtId="176" fontId="0" fillId="0" borderId="24" xfId="0" applyNumberFormat="1" applyBorder="1"/>
    <xf numFmtId="0" fontId="0" fillId="0" borderId="0" xfId="0" quotePrefix="1"/>
    <xf numFmtId="0" fontId="0" fillId="0" borderId="0" xfId="0" applyFill="1" applyBorder="1" applyAlignment="1">
      <alignment horizontal="right"/>
    </xf>
    <xf numFmtId="0" fontId="0" fillId="0" borderId="24" xfId="0" quotePrefix="1" applyBorder="1"/>
    <xf numFmtId="0" fontId="4" fillId="0" borderId="0" xfId="0" applyFont="1" applyBorder="1"/>
    <xf numFmtId="0" fontId="11" fillId="2" borderId="7" xfId="2" applyBorder="1" applyAlignment="1"/>
    <xf numFmtId="0" fontId="12" fillId="3" borderId="7" xfId="3" applyBorder="1" applyAlignment="1"/>
    <xf numFmtId="0" fontId="12" fillId="3" borderId="8" xfId="3" applyBorder="1" applyAlignment="1"/>
    <xf numFmtId="0" fontId="11" fillId="2" borderId="20" xfId="2" applyBorder="1" applyAlignment="1"/>
    <xf numFmtId="0" fontId="11" fillId="2" borderId="31" xfId="2" applyBorder="1" applyAlignment="1"/>
    <xf numFmtId="0" fontId="11" fillId="2" borderId="9" xfId="2" applyBorder="1" applyAlignment="1"/>
    <xf numFmtId="0" fontId="11" fillId="2" borderId="19" xfId="2" applyBorder="1" applyAlignment="1"/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</cellXfs>
  <cellStyles count="4">
    <cellStyle name="差" xfId="2" builtinId="27"/>
    <cellStyle name="常规" xfId="0" builtinId="0"/>
    <cellStyle name="超链接" xfId="1" builtinId="8"/>
    <cellStyle name="适中" xfId="3" builtinId="28"/>
  </cellStyles>
  <dxfs count="1197">
    <dxf>
      <font>
        <color theme="0"/>
      </font>
      <numFmt numFmtId="0" formatCode="General"/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  <numFmt numFmtId="0" formatCode="General"/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  <numFmt numFmtId="0" formatCode="General"/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  <numFmt numFmtId="0" formatCode="General"/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  <numFmt numFmtId="0" formatCode="General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  <numFmt numFmtId="0" formatCode="General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  <numFmt numFmtId="0" formatCode="General"/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  <numFmt numFmtId="0" formatCode="General"/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14643.de/" TargetMode="External"/><Relationship Id="rId2" Type="http://schemas.openxmlformats.org/officeDocument/2006/relationships/hyperlink" Target="https://launchercalculator.com/" TargetMode="External"/><Relationship Id="rId1" Type="http://schemas.openxmlformats.org/officeDocument/2006/relationships/hyperlink" Target="https://forum.nasaspaceflight.com/index.php?topic=33135.0" TargetMode="External"/><Relationship Id="rId5" Type="http://schemas.openxmlformats.org/officeDocument/2006/relationships/hyperlink" Target="https://en.wikipedia.org/" TargetMode="External"/><Relationship Id="rId4" Type="http://schemas.openxmlformats.org/officeDocument/2006/relationships/hyperlink" Target="https://www.spaceflightinsider.com/hanga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at.huijiwiki.com/index.php?diff=12259&amp;oldid=8973" TargetMode="External"/><Relationship Id="rId2" Type="http://schemas.openxmlformats.org/officeDocument/2006/relationships/hyperlink" Target="https://sat.huijiwiki.com/index.php?diff=12259&amp;oldid=8973" TargetMode="External"/><Relationship Id="rId1" Type="http://schemas.openxmlformats.org/officeDocument/2006/relationships/hyperlink" Target="https://sat.huijiwiki.com/index.php?diff=12259&amp;oldid=8973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stronautix.com/n/n11969.html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en.wikipedia.org/wiki/Saturn_V" TargetMode="External"/><Relationship Id="rId7" Type="http://schemas.openxmlformats.org/officeDocument/2006/relationships/hyperlink" Target="http://www.astronautix.com/n/n11969.html" TargetMode="External"/><Relationship Id="rId12" Type="http://schemas.openxmlformats.org/officeDocument/2006/relationships/hyperlink" Target="https://everydayastronaut.com/soviet-rocket-engines/" TargetMode="External"/><Relationship Id="rId2" Type="http://schemas.openxmlformats.org/officeDocument/2006/relationships/hyperlink" Target="http://www.braeunig.us/space/specs/sls.htm" TargetMode="External"/><Relationship Id="rId1" Type="http://schemas.openxmlformats.org/officeDocument/2006/relationships/hyperlink" Target="http://www.braeunig.us/space/specs/sls.htm" TargetMode="External"/><Relationship Id="rId6" Type="http://schemas.openxmlformats.org/officeDocument/2006/relationships/hyperlink" Target="http://www.b14643.de/Spacerockets_1/East_Europe_2/Energiya/Description/Frame.htm" TargetMode="External"/><Relationship Id="rId11" Type="http://schemas.openxmlformats.org/officeDocument/2006/relationships/hyperlink" Target="https://everydayastronaut.com/soviet-rocket-engines/" TargetMode="External"/><Relationship Id="rId5" Type="http://schemas.openxmlformats.org/officeDocument/2006/relationships/hyperlink" Target="https://www.blueorigin.com/new-glenn" TargetMode="External"/><Relationship Id="rId10" Type="http://schemas.openxmlformats.org/officeDocument/2006/relationships/hyperlink" Target="http://www.b14643.de/Spacerockets_1/East_Europe_2/N-1/Description/Frame.htm" TargetMode="External"/><Relationship Id="rId4" Type="http://schemas.openxmlformats.org/officeDocument/2006/relationships/hyperlink" Target="https://en.wikipedia.org/wiki/SpaceX_Starship" TargetMode="External"/><Relationship Id="rId9" Type="http://schemas.openxmlformats.org/officeDocument/2006/relationships/hyperlink" Target="http://www.b14643.de/Spacerockets_1/East_Europe_2/N-1/Description/Frame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14643.de/Spacerockets_1/China/CZ-7/Description/Frame.htm" TargetMode="External"/><Relationship Id="rId2" Type="http://schemas.openxmlformats.org/officeDocument/2006/relationships/hyperlink" Target="https://www.bilibili.com/read/cv4412496" TargetMode="External"/><Relationship Id="rId1" Type="http://schemas.openxmlformats.org/officeDocument/2006/relationships/hyperlink" Target="https://www.bilibili.com/read/cv4412496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b14643.de/Spacerockets_1/China/CZ-7/Description/Frame.htm" TargetMode="External"/><Relationship Id="rId4" Type="http://schemas.openxmlformats.org/officeDocument/2006/relationships/hyperlink" Target="http://www.b14643.de/Spacerockets_1/China/CZ-7/Description/Frame.ht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ussianspaceweb.com/angara_urm2.html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en.wikipedia.org/wiki/Delta_IV_Heavy" TargetMode="External"/><Relationship Id="rId7" Type="http://schemas.openxmlformats.org/officeDocument/2006/relationships/hyperlink" Target="https://web.archive.org/web/20150925203609/http:/www.spaceflight101.com/angara-a5.html" TargetMode="External"/><Relationship Id="rId12" Type="http://schemas.openxmlformats.org/officeDocument/2006/relationships/hyperlink" Target="https://global.jaxa.jp/projects/rockets/h2b/" TargetMode="External"/><Relationship Id="rId2" Type="http://schemas.openxmlformats.org/officeDocument/2006/relationships/hyperlink" Target="https://en.wikipedia.org/wiki/Falcon_9" TargetMode="External"/><Relationship Id="rId1" Type="http://schemas.openxmlformats.org/officeDocument/2006/relationships/hyperlink" Target="https://launchercalculator.com/?rocket=SX4" TargetMode="External"/><Relationship Id="rId6" Type="http://schemas.openxmlformats.org/officeDocument/2006/relationships/hyperlink" Target="https://www.ilslaunch.com/launch-vehicle/proton-breeze-m/" TargetMode="External"/><Relationship Id="rId11" Type="http://schemas.openxmlformats.org/officeDocument/2006/relationships/hyperlink" Target="http://www.astronautix.com/a/ariane5eca.html" TargetMode="External"/><Relationship Id="rId5" Type="http://schemas.openxmlformats.org/officeDocument/2006/relationships/hyperlink" Target="https://www.ilslaunch.com/launch-vehicle/proton-breeze-m/" TargetMode="External"/><Relationship Id="rId10" Type="http://schemas.openxmlformats.org/officeDocument/2006/relationships/hyperlink" Target="https://www.russianspaceweb.com/angara_urm2.html" TargetMode="External"/><Relationship Id="rId4" Type="http://schemas.openxmlformats.org/officeDocument/2006/relationships/hyperlink" Target="https://en.wikipedia.org/wiki/Falcon_9" TargetMode="External"/><Relationship Id="rId9" Type="http://schemas.openxmlformats.org/officeDocument/2006/relationships/hyperlink" Target="https://web.archive.org/web/20150925203609/http:/www.spaceflight101.com/angara-a5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alactic-energy.cn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://www.i-space.com.cn/" TargetMode="External"/><Relationship Id="rId7" Type="http://schemas.openxmlformats.org/officeDocument/2006/relationships/hyperlink" Target="http://www.spacepioneer.cc/" TargetMode="External"/><Relationship Id="rId12" Type="http://schemas.openxmlformats.org/officeDocument/2006/relationships/hyperlink" Target="https://mp.weixin.qq.com/s/k1FlKndZ74PEphO9_6622Q" TargetMode="External"/><Relationship Id="rId2" Type="http://schemas.openxmlformats.org/officeDocument/2006/relationships/hyperlink" Target="https://mp.weixin.qq.com/s/O1kGc6OZFP6Gmqhhuxggxg" TargetMode="External"/><Relationship Id="rId1" Type="http://schemas.openxmlformats.org/officeDocument/2006/relationships/hyperlink" Target="https://www.landspace.com/" TargetMode="External"/><Relationship Id="rId6" Type="http://schemas.openxmlformats.org/officeDocument/2006/relationships/hyperlink" Target="http://www.spacepioneer.cc/" TargetMode="External"/><Relationship Id="rId11" Type="http://schemas.openxmlformats.org/officeDocument/2006/relationships/hyperlink" Target="http://www.cas-space.com/product" TargetMode="External"/><Relationship Id="rId5" Type="http://schemas.openxmlformats.org/officeDocument/2006/relationships/hyperlink" Target="http://www.spacepioneer.cc/" TargetMode="External"/><Relationship Id="rId10" Type="http://schemas.openxmlformats.org/officeDocument/2006/relationships/hyperlink" Target="http://www.cas-space.com/product" TargetMode="External"/><Relationship Id="rId4" Type="http://schemas.openxmlformats.org/officeDocument/2006/relationships/hyperlink" Target="http://www.spacepioneer.cc/" TargetMode="External"/><Relationship Id="rId9" Type="http://schemas.openxmlformats.org/officeDocument/2006/relationships/hyperlink" Target="http://www.spacecircling.com.cn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stronautix.com/r/rs-2200.html" TargetMode="External"/><Relationship Id="rId2" Type="http://schemas.openxmlformats.org/officeDocument/2006/relationships/hyperlink" Target="http://www.buran.ru/htm/molniya6.htm" TargetMode="External"/><Relationship Id="rId1" Type="http://schemas.openxmlformats.org/officeDocument/2006/relationships/hyperlink" Target="http://www.astronautix.com/m/maks.html" TargetMode="External"/><Relationship Id="rId5" Type="http://schemas.openxmlformats.org/officeDocument/2006/relationships/hyperlink" Target="https://web.archive.org/web/20151129034506/http:/www.reactionengines.co.uk/tech_docs/SKYLON_Users_Manual_Rev_2.1.pdf" TargetMode="External"/><Relationship Id="rId4" Type="http://schemas.openxmlformats.org/officeDocument/2006/relationships/hyperlink" Target="http://www.astronautix.com/v/venturesta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selection activeCell="W22" sqref="W22"/>
    </sheetView>
  </sheetViews>
  <sheetFormatPr defaultRowHeight="14.4"/>
  <cols>
    <col min="2" max="2" width="8.88671875" customWidth="1"/>
    <col min="7" max="7" width="8.88671875" customWidth="1"/>
    <col min="17" max="17" width="8.88671875" customWidth="1"/>
    <col min="21" max="21" width="9.5546875" bestFit="1" customWidth="1"/>
  </cols>
  <sheetData>
    <row r="1" spans="1:23" ht="15" thickBo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3" ht="15" thickBot="1">
      <c r="A2" s="52" t="s">
        <v>52</v>
      </c>
      <c r="B2" s="52"/>
      <c r="C2" s="29" t="s">
        <v>0</v>
      </c>
      <c r="D2" s="90" t="s">
        <v>41</v>
      </c>
      <c r="E2" s="90"/>
      <c r="F2" s="43"/>
      <c r="G2" s="43"/>
      <c r="H2" s="43"/>
      <c r="I2" s="86" t="s">
        <v>42</v>
      </c>
      <c r="J2" s="86"/>
      <c r="K2" s="86"/>
      <c r="L2" s="54" t="s">
        <v>70</v>
      </c>
      <c r="M2" s="86" t="s">
        <v>71</v>
      </c>
      <c r="N2" s="86"/>
      <c r="O2" s="87"/>
      <c r="P2" s="29" t="s">
        <v>49</v>
      </c>
      <c r="Q2" s="34" t="str">
        <f>IF(OR(P6&lt;P5,T6&lt;T5),"芯级燃烧时间不得小于助推燃烧时间！","")</f>
        <v/>
      </c>
      <c r="R2" s="44"/>
      <c r="S2" s="45"/>
      <c r="T2" s="29"/>
      <c r="U2" s="46" t="s">
        <v>45</v>
      </c>
      <c r="V2" s="46" t="s">
        <v>48</v>
      </c>
      <c r="W2" s="33"/>
    </row>
    <row r="3" spans="1:23" ht="15" thickBot="1">
      <c r="A3" s="40"/>
      <c r="B3" s="39"/>
      <c r="C3" s="2"/>
      <c r="D3" s="2"/>
      <c r="E3" s="2"/>
      <c r="F3" s="41"/>
      <c r="G3" s="42"/>
      <c r="H3" s="42"/>
      <c r="I3" s="24"/>
      <c r="J3" s="24"/>
      <c r="K3" s="24"/>
      <c r="L3" s="55">
        <f>IFERROR(IF(AND(F5&lt;&gt;0,C3&lt;&gt;0),M5/F5*E3+M6/F6*D3,M6/F6*D3),0)</f>
        <v>0</v>
      </c>
      <c r="M3" s="53" t="s">
        <v>45</v>
      </c>
      <c r="N3" s="17" t="str">
        <f>IF(AND(F5&lt;&gt;0,C3&lt;&gt;0),(M5+M6)/(M5/F5+M6/F6),"")</f>
        <v/>
      </c>
      <c r="O3" s="56" t="s">
        <v>46</v>
      </c>
      <c r="P3" s="89" t="s">
        <v>17</v>
      </c>
      <c r="Q3" s="89"/>
      <c r="R3" s="91"/>
      <c r="S3" s="88" t="s">
        <v>18</v>
      </c>
      <c r="T3" s="89"/>
      <c r="U3" s="89"/>
      <c r="V3" s="89"/>
      <c r="W3" s="1"/>
    </row>
    <row r="4" spans="1:23" ht="15" thickBot="1">
      <c r="A4" s="33" t="s">
        <v>45</v>
      </c>
      <c r="B4" s="26" t="s">
        <v>39</v>
      </c>
      <c r="C4" s="1" t="s">
        <v>1</v>
      </c>
      <c r="D4" s="1" t="s">
        <v>2</v>
      </c>
      <c r="E4" s="1" t="s">
        <v>7</v>
      </c>
      <c r="F4" s="1" t="s">
        <v>8</v>
      </c>
      <c r="G4" s="1" t="s">
        <v>43</v>
      </c>
      <c r="H4" s="1" t="s">
        <v>44</v>
      </c>
      <c r="I4" s="24"/>
      <c r="J4" s="24"/>
      <c r="K4" s="24"/>
      <c r="L4" s="11" t="s">
        <v>6</v>
      </c>
      <c r="M4" s="12" t="s">
        <v>69</v>
      </c>
      <c r="N4" s="12" t="s">
        <v>15</v>
      </c>
      <c r="O4" s="13" t="s">
        <v>14</v>
      </c>
      <c r="P4" s="14" t="s">
        <v>12</v>
      </c>
      <c r="Q4" s="1" t="s">
        <v>10</v>
      </c>
      <c r="R4" s="15" t="s">
        <v>11</v>
      </c>
      <c r="S4" s="14" t="s">
        <v>13</v>
      </c>
      <c r="T4" s="1" t="s">
        <v>16</v>
      </c>
      <c r="U4" s="1" t="s">
        <v>10</v>
      </c>
      <c r="V4" s="1" t="s">
        <v>11</v>
      </c>
      <c r="W4" s="1"/>
    </row>
    <row r="5" spans="1:23">
      <c r="A5" s="40"/>
      <c r="B5" s="27" t="s">
        <v>3</v>
      </c>
      <c r="C5" s="3"/>
      <c r="D5" s="4"/>
      <c r="E5" s="4"/>
      <c r="F5" s="4"/>
      <c r="G5" s="19"/>
      <c r="H5" s="20"/>
      <c r="I5" s="24"/>
      <c r="J5" s="24"/>
      <c r="K5" s="24"/>
      <c r="L5" s="14">
        <f>C5*C3</f>
        <v>0</v>
      </c>
      <c r="M5" s="1">
        <f>E5*C3</f>
        <v>0</v>
      </c>
      <c r="N5" s="1">
        <f>IF(D5,L5/D5,0)</f>
        <v>0</v>
      </c>
      <c r="O5" s="15">
        <f>L5-N5</f>
        <v>0</v>
      </c>
      <c r="P5" s="14">
        <f>IF(AND(F5&lt;&gt;0,C3&lt;&gt;0),O5/M5*F5/IF(G5,G5,1),0)</f>
        <v>0</v>
      </c>
      <c r="Q5" s="1">
        <f>SUM(L5:L9)</f>
        <v>0</v>
      </c>
      <c r="R5" s="15">
        <f>N5+Q6</f>
        <v>0</v>
      </c>
      <c r="S5" s="14">
        <f>N5+H5*O5</f>
        <v>0</v>
      </c>
      <c r="T5" s="1">
        <f>IF(AND(F5&lt;&gt;0,C3&lt;&gt;0),(1-H5)*O5/M5*F5/IF(G5,G5,1),0)</f>
        <v>0</v>
      </c>
      <c r="U5" s="1">
        <f>SUM(L5:L9)</f>
        <v>0</v>
      </c>
      <c r="V5" s="1">
        <f>S5+U6</f>
        <v>0</v>
      </c>
      <c r="W5" s="1"/>
    </row>
    <row r="6" spans="1:23">
      <c r="A6" s="47"/>
      <c r="B6" s="27">
        <v>1</v>
      </c>
      <c r="C6" s="5"/>
      <c r="D6" s="1"/>
      <c r="E6" s="1"/>
      <c r="F6" s="1"/>
      <c r="G6" s="5"/>
      <c r="H6" s="21"/>
      <c r="I6" s="30"/>
      <c r="J6" s="30"/>
      <c r="K6" s="30"/>
      <c r="L6" s="14">
        <f>C6</f>
        <v>0</v>
      </c>
      <c r="M6" s="1">
        <f>E6</f>
        <v>0</v>
      </c>
      <c r="N6" s="1">
        <f>IF(D6,L6/D6,0)</f>
        <v>0</v>
      </c>
      <c r="O6" s="15">
        <f>L6-N6</f>
        <v>0</v>
      </c>
      <c r="P6" s="14">
        <f t="shared" ref="P6:P9" si="0">IF(F6,O6/M6*F6/IF(G6,G6,1),0)</f>
        <v>0</v>
      </c>
      <c r="Q6" s="1">
        <f>IF(F6,SUM(L6:L9)-P5*M6/F6*IF(G6,G6,1),0)</f>
        <v>0</v>
      </c>
      <c r="R6" s="15">
        <f>N6+Q7</f>
        <v>0</v>
      </c>
      <c r="S6" s="14">
        <f>N6+H6*O6</f>
        <v>0</v>
      </c>
      <c r="T6" s="1">
        <f>IF(F6,(1-H6)*O6/M6*F6/IF(G6,G6,1),0)</f>
        <v>0</v>
      </c>
      <c r="U6" s="1">
        <f>IF(F6,SUM(L6:L9)-T5*M6/F6*IF(G6,G6,1),0)</f>
        <v>0</v>
      </c>
      <c r="V6" s="1">
        <f>S6+U7</f>
        <v>0</v>
      </c>
      <c r="W6" s="1"/>
    </row>
    <row r="7" spans="1:23">
      <c r="A7" s="47"/>
      <c r="B7" s="27">
        <v>2</v>
      </c>
      <c r="C7" s="5"/>
      <c r="D7" s="1"/>
      <c r="E7" s="1"/>
      <c r="F7" s="1"/>
      <c r="G7" s="5"/>
      <c r="H7" s="21"/>
      <c r="I7" s="30"/>
      <c r="J7" s="30"/>
      <c r="K7" s="30"/>
      <c r="L7" s="14">
        <f>C7</f>
        <v>0</v>
      </c>
      <c r="M7" s="1">
        <f>E7</f>
        <v>0</v>
      </c>
      <c r="N7" s="1">
        <f>IF(D7,L7/D7,0)</f>
        <v>0</v>
      </c>
      <c r="O7" s="15">
        <f>L7-N7</f>
        <v>0</v>
      </c>
      <c r="P7" s="14">
        <f t="shared" si="0"/>
        <v>0</v>
      </c>
      <c r="Q7" s="1">
        <f>SUM(L7:L9)</f>
        <v>0</v>
      </c>
      <c r="R7" s="15">
        <f>N7+Q8</f>
        <v>0</v>
      </c>
      <c r="S7" s="14">
        <f>N7+H7*O7</f>
        <v>0</v>
      </c>
      <c r="T7" s="1">
        <f t="shared" ref="T7:T9" si="1">IF(F7,(1-H7)*O7/M7*F7/IF(G7,G7,1),0)</f>
        <v>0</v>
      </c>
      <c r="U7" s="1">
        <f>SUM(L7:L9)</f>
        <v>0</v>
      </c>
      <c r="V7" s="1">
        <f>S7+U8</f>
        <v>0</v>
      </c>
      <c r="W7" s="1"/>
    </row>
    <row r="8" spans="1:23">
      <c r="A8" s="33" t="s">
        <v>45</v>
      </c>
      <c r="B8" s="27">
        <v>3</v>
      </c>
      <c r="C8" s="5"/>
      <c r="D8" s="1"/>
      <c r="E8" s="1"/>
      <c r="F8" s="1"/>
      <c r="G8" s="5"/>
      <c r="H8" s="21"/>
      <c r="I8" s="30"/>
      <c r="J8" s="30"/>
      <c r="K8" s="30"/>
      <c r="L8" s="14">
        <f>C8</f>
        <v>0</v>
      </c>
      <c r="M8" s="1">
        <f>E8</f>
        <v>0</v>
      </c>
      <c r="N8" s="1">
        <f>IF(D8,L8/D8,0)</f>
        <v>0</v>
      </c>
      <c r="O8" s="15">
        <f>L8-N8</f>
        <v>0</v>
      </c>
      <c r="P8" s="14">
        <f t="shared" si="0"/>
        <v>0</v>
      </c>
      <c r="Q8" s="1">
        <f>SUM(L8:L9)</f>
        <v>0</v>
      </c>
      <c r="R8" s="15">
        <f>N8+Q9</f>
        <v>0</v>
      </c>
      <c r="S8" s="14">
        <f>N8+H8*O8</f>
        <v>0</v>
      </c>
      <c r="T8" s="1">
        <f t="shared" si="1"/>
        <v>0</v>
      </c>
      <c r="U8" s="1">
        <f>SUM(L8:L9)</f>
        <v>0</v>
      </c>
      <c r="V8" s="1">
        <f>S8+U9</f>
        <v>0</v>
      </c>
      <c r="W8" s="1"/>
    </row>
    <row r="9" spans="1:23" ht="15" thickBot="1">
      <c r="A9" s="40"/>
      <c r="B9" s="28">
        <v>4</v>
      </c>
      <c r="C9" s="6"/>
      <c r="D9" s="7"/>
      <c r="E9" s="7"/>
      <c r="F9" s="7"/>
      <c r="G9" s="22"/>
      <c r="H9" s="23"/>
      <c r="I9" s="24"/>
      <c r="J9" s="24"/>
      <c r="K9" s="24"/>
      <c r="L9" s="16">
        <f>C9</f>
        <v>0</v>
      </c>
      <c r="M9" s="17">
        <f>E9</f>
        <v>0</v>
      </c>
      <c r="N9" s="17">
        <f>IF(D9,L9/D9,0)</f>
        <v>0</v>
      </c>
      <c r="O9" s="18">
        <f>L9-N9</f>
        <v>0</v>
      </c>
      <c r="P9" s="14">
        <f t="shared" si="0"/>
        <v>0</v>
      </c>
      <c r="Q9" s="17">
        <f>SUM(L9:L9)</f>
        <v>0</v>
      </c>
      <c r="R9" s="18">
        <f>N9</f>
        <v>0</v>
      </c>
      <c r="S9" s="16">
        <f>N9+H9*O9</f>
        <v>0</v>
      </c>
      <c r="T9" s="17">
        <f t="shared" si="1"/>
        <v>0</v>
      </c>
      <c r="U9" s="17">
        <f>SUM(L9:L9)</f>
        <v>0</v>
      </c>
      <c r="V9" s="17">
        <f>S9</f>
        <v>0</v>
      </c>
      <c r="W9" s="1"/>
    </row>
    <row r="10" spans="1:23" ht="15" thickBot="1">
      <c r="A10" s="47"/>
      <c r="B10" s="26" t="s">
        <v>38</v>
      </c>
      <c r="C10" s="1" t="s">
        <v>4</v>
      </c>
      <c r="D10" s="1" t="s">
        <v>28</v>
      </c>
      <c r="E10" s="1" t="s">
        <v>265</v>
      </c>
      <c r="F10" s="69" t="s">
        <v>40</v>
      </c>
      <c r="G10" s="1" t="s">
        <v>29</v>
      </c>
      <c r="H10" s="1" t="s">
        <v>23</v>
      </c>
      <c r="I10" s="12" t="s">
        <v>24</v>
      </c>
      <c r="J10" s="12" t="s">
        <v>25</v>
      </c>
      <c r="K10" s="11" t="s">
        <v>19</v>
      </c>
      <c r="L10" s="12" t="s">
        <v>26</v>
      </c>
      <c r="M10" s="12" t="s">
        <v>20</v>
      </c>
      <c r="N10" s="12" t="s">
        <v>21</v>
      </c>
      <c r="O10" s="12" t="s">
        <v>22</v>
      </c>
      <c r="P10" s="13" t="s">
        <v>27</v>
      </c>
      <c r="Q10" s="85" t="s">
        <v>42</v>
      </c>
      <c r="R10" s="85"/>
      <c r="S10" s="85"/>
      <c r="T10" s="31" t="s">
        <v>50</v>
      </c>
      <c r="U10" s="35" t="s">
        <v>47</v>
      </c>
      <c r="V10" s="36" t="s">
        <v>264</v>
      </c>
    </row>
    <row r="11" spans="1:23">
      <c r="A11" s="47"/>
      <c r="B11" s="27" t="s">
        <v>34</v>
      </c>
      <c r="C11" s="8"/>
      <c r="D11" s="1" t="str">
        <f>IF(C11,C11+Q5,"")</f>
        <v/>
      </c>
      <c r="E11" s="72" t="str">
        <f>IF(C11,C11/D11,"")</f>
        <v/>
      </c>
      <c r="F11" s="14" t="str">
        <f>IF(AND(C11&lt;&gt;"",N3&lt;&gt;""),(M5/F5*E3+M6/F6*D3)/(C11+Q5),"")</f>
        <v/>
      </c>
      <c r="G11" s="1" t="str">
        <f>IF(C11,IF(AND(F5&lt;&gt;0,C3&lt;&gt;0),M6,M6/F6*D3)/(C11+Q6),"")</f>
        <v/>
      </c>
      <c r="H11" s="1" t="str">
        <f>IF(C11,(M7)/(C11+Q7),"")</f>
        <v/>
      </c>
      <c r="I11" s="1" t="str">
        <f>IF(C11,(M8)/(C11+Q8),"")</f>
        <v/>
      </c>
      <c r="J11" s="1" t="str">
        <f>IF(C11,(M9)/(C11+Q9),"")</f>
        <v/>
      </c>
      <c r="K11" s="14" t="str">
        <f>IF(AND(C11&lt;&gt;"",N3&lt;&gt;""),9.8*N3*LN((C11+Q5)/(C11+R5)),"")</f>
        <v/>
      </c>
      <c r="L11" s="1" t="str">
        <f>IF(C11,9.8*F6*LN((C11+Q6)/(C11+R6)),"")</f>
        <v/>
      </c>
      <c r="M11" s="1" t="str">
        <f>IF(C11,9.8*F7*LN((C11+Q7)/(C11+R7)),"")</f>
        <v/>
      </c>
      <c r="N11" s="1" t="str">
        <f>IF(C11,9.8*F8*LN((C11+Q8)/(C11+R8)),"")</f>
        <v/>
      </c>
      <c r="O11" s="1" t="str">
        <f>IF(C11,9.8*F9*LN((C11+Q9)/(C11+R9)),"")</f>
        <v/>
      </c>
      <c r="P11" s="15" t="str">
        <f>IF(C11,SUM(K11:O11),"")</f>
        <v/>
      </c>
      <c r="Q11" s="1"/>
      <c r="R11" s="1"/>
      <c r="S11" s="1"/>
      <c r="T11" s="32" t="str">
        <f>IF(OR(F11&lt;1,AND(F11="",G11&lt;1)),"起飞推重比不得小于0，空天飞机除外","")</f>
        <v/>
      </c>
      <c r="U11" s="1"/>
      <c r="V11" s="1"/>
    </row>
    <row r="12" spans="1:23">
      <c r="A12" s="33" t="s">
        <v>53</v>
      </c>
      <c r="B12" s="27" t="s">
        <v>35</v>
      </c>
      <c r="C12" s="9"/>
      <c r="D12" s="1" t="str">
        <f>IF(C12,C12+Q5,"")</f>
        <v/>
      </c>
      <c r="E12" s="72" t="str">
        <f t="shared" ref="E12:E14" si="2">IF(C12,C12/D12,"")</f>
        <v/>
      </c>
      <c r="F12" s="14" t="str">
        <f>IF(AND(C12&lt;&gt;"",N3&lt;&gt;""),(M5/F5*E3+M6/F6*D3)/(C12+Q5),"")</f>
        <v/>
      </c>
      <c r="G12" s="1" t="str">
        <f>IF(C12,IF(AND(F5&lt;&gt;0,C3&lt;&gt;0),M6,M6/F6*D3)/(C12+Q6),"")</f>
        <v/>
      </c>
      <c r="H12" s="1" t="str">
        <f>IF(C12,(M7)/(C12+Q7),"")</f>
        <v/>
      </c>
      <c r="I12" s="1" t="str">
        <f>IF(C12,(M8)/(C12+Q8),"")</f>
        <v/>
      </c>
      <c r="J12" s="1" t="str">
        <f>IF(C12,(M9)/(C12+Q9),"")</f>
        <v/>
      </c>
      <c r="K12" s="14" t="str">
        <f>IF(AND(C12&lt;&gt;"",N3&lt;&gt;""),9.8*N3*LN((C12+Q5)/(C12+R5)),"")</f>
        <v/>
      </c>
      <c r="L12" s="1" t="str">
        <f>IF(C12,9.8*F6*LN((C12+Q6)/(C12+R6)),"")</f>
        <v/>
      </c>
      <c r="M12" s="1" t="str">
        <f>IF(C12,9.8*F7*LN((C12+Q7)/(C12+R7)),"")</f>
        <v/>
      </c>
      <c r="N12" s="1" t="str">
        <f>IF(C12,9.8*F8*LN((C12+Q8)/(C12+R8)),"")</f>
        <v/>
      </c>
      <c r="O12" s="1" t="str">
        <f>IF(C12,9.8*F9*LN((C12+Q9)/(C12+R9)),"")</f>
        <v/>
      </c>
      <c r="P12" s="15" t="str">
        <f>IF(C12,SUM(K12:O12),"")</f>
        <v/>
      </c>
      <c r="Q12" s="1"/>
      <c r="R12" s="1"/>
      <c r="S12" s="1"/>
      <c r="T12" s="32" t="str">
        <f t="shared" ref="T12:T14" si="3">IF(OR(F12&lt;1,AND(F12="",G12&lt;1)),"起飞推重比不得小于0，空天飞机除外","")</f>
        <v/>
      </c>
      <c r="U12" s="1"/>
      <c r="V12" s="1"/>
    </row>
    <row r="13" spans="1:23">
      <c r="A13" s="40"/>
      <c r="B13" s="27" t="s">
        <v>36</v>
      </c>
      <c r="C13" s="9"/>
      <c r="D13" s="1" t="str">
        <f>IF(C13,C13+Q5,"")</f>
        <v/>
      </c>
      <c r="E13" s="72" t="str">
        <f t="shared" si="2"/>
        <v/>
      </c>
      <c r="F13" s="14" t="str">
        <f>IF(AND(C13&lt;&gt;"",N3&lt;&gt;""),(M5/F5*E3+M6/F6*D3)/(C13+Q5),"")</f>
        <v/>
      </c>
      <c r="G13" s="1" t="str">
        <f>IF(C13,IF(AND(F5&lt;&gt;0,C3&lt;&gt;0),M6,M6/F6*D3)/(C13+Q6),"")</f>
        <v/>
      </c>
      <c r="H13" s="1" t="str">
        <f>IF(C13,(M7)/(C13+Q7),"")</f>
        <v/>
      </c>
      <c r="I13" s="1" t="str">
        <f>IF(C13,(M8)/(C13+Q8),"")</f>
        <v/>
      </c>
      <c r="J13" s="1" t="str">
        <f>IF(C13,(M9)/(C13+Q9),"")</f>
        <v/>
      </c>
      <c r="K13" s="14" t="str">
        <f>IF(AND(C13&lt;&gt;"",N3&lt;&gt;""),9.8*N3*LN((C13+Q5)/(C13+R5)),"")</f>
        <v/>
      </c>
      <c r="L13" s="1" t="str">
        <f>IF(C13,9.8*F6*LN((C13+Q6)/(C13+R6)),"")</f>
        <v/>
      </c>
      <c r="M13" s="1" t="str">
        <f>IF(C13,9.8*F7*LN((C13+Q7)/(C13+R7)),"")</f>
        <v/>
      </c>
      <c r="N13" s="1" t="str">
        <f>IF(C13,9.8*F8*LN((C13+Q8)/(C13+R8)),"")</f>
        <v/>
      </c>
      <c r="O13" s="1" t="str">
        <f>IF(C13,9.8*F9*LN((C13+Q9)/(C13+R9)),"")</f>
        <v/>
      </c>
      <c r="P13" s="15" t="str">
        <f>IF(C13,SUM(K13:O13),"")</f>
        <v/>
      </c>
      <c r="Q13" s="1"/>
      <c r="R13" s="1"/>
      <c r="S13" s="1"/>
      <c r="T13" s="32" t="str">
        <f t="shared" si="3"/>
        <v/>
      </c>
      <c r="U13" s="1"/>
      <c r="V13" s="1"/>
    </row>
    <row r="14" spans="1:23" ht="15" thickBot="1">
      <c r="A14" s="47"/>
      <c r="B14" s="28" t="s">
        <v>5</v>
      </c>
      <c r="C14" s="10"/>
      <c r="D14" s="1" t="str">
        <f>IF(C14,C14+Q5,"")</f>
        <v/>
      </c>
      <c r="E14" s="72" t="str">
        <f t="shared" si="2"/>
        <v/>
      </c>
      <c r="F14" s="14" t="str">
        <f>IF(AND(C14&lt;&gt;"",N3&lt;&gt;""),(M5/F5*E3+M6/F6*D3)/(C14+Q5),"")</f>
        <v/>
      </c>
      <c r="G14" s="1" t="str">
        <f>IF(C14,IF(AND(F5&lt;&gt;0,C3&lt;&gt;0),M6,M6/F6*D3)/(C14+Q6),"")</f>
        <v/>
      </c>
      <c r="H14" s="1" t="str">
        <f>IF(C14,(M7)/(C14+Q7),"")</f>
        <v/>
      </c>
      <c r="I14" s="1" t="str">
        <f>IF(C14,(M8)/(C14+Q8),"")</f>
        <v/>
      </c>
      <c r="J14" s="1" t="str">
        <f>IF(C14,(M9)/(C14+Q9),"")</f>
        <v/>
      </c>
      <c r="K14" s="14" t="str">
        <f>IF(AND(C14&lt;&gt;"",N3&lt;&gt;""),9.8*N3*LN((C14+Q5)/(C14+R5)),"")</f>
        <v/>
      </c>
      <c r="L14" s="1" t="str">
        <f>IF(C14,9.8*F6*LN((C14+Q6)/(C14+R6)),"")</f>
        <v/>
      </c>
      <c r="M14" s="1" t="str">
        <f>IF(C14,9.8*F7*LN((C14+Q7)/(C14+R7)),"")</f>
        <v/>
      </c>
      <c r="N14" s="1" t="str">
        <f>IF(C14,9.8*F8*LN((C14+Q8)/(C14+R8)),"")</f>
        <v/>
      </c>
      <c r="O14" s="1" t="str">
        <f>IF(C14,9.8*F9*LN((C14+Q9)/(C14+R9)),"")</f>
        <v/>
      </c>
      <c r="P14" s="15" t="str">
        <f>IF(C14,SUM(K14:O14),"")</f>
        <v/>
      </c>
      <c r="Q14" s="17"/>
      <c r="R14" s="17"/>
      <c r="S14" s="17"/>
      <c r="T14" s="32" t="str">
        <f t="shared" si="3"/>
        <v/>
      </c>
      <c r="U14" s="1"/>
      <c r="V14" s="1"/>
    </row>
    <row r="15" spans="1:23" ht="15" thickBot="1">
      <c r="A15" s="33" t="s">
        <v>45</v>
      </c>
      <c r="B15" s="26" t="s">
        <v>37</v>
      </c>
      <c r="C15" s="1" t="s">
        <v>9</v>
      </c>
      <c r="D15" s="12" t="s">
        <v>28</v>
      </c>
      <c r="E15" s="12" t="s">
        <v>266</v>
      </c>
      <c r="F15" s="11" t="s">
        <v>40</v>
      </c>
      <c r="G15" s="12" t="s">
        <v>29</v>
      </c>
      <c r="H15" s="12" t="s">
        <v>23</v>
      </c>
      <c r="I15" s="12" t="s">
        <v>24</v>
      </c>
      <c r="J15" s="12" t="s">
        <v>25</v>
      </c>
      <c r="K15" s="11" t="s">
        <v>19</v>
      </c>
      <c r="L15" s="12" t="s">
        <v>26</v>
      </c>
      <c r="M15" s="12" t="s">
        <v>20</v>
      </c>
      <c r="N15" s="12" t="s">
        <v>21</v>
      </c>
      <c r="O15" s="12" t="s">
        <v>22</v>
      </c>
      <c r="P15" s="13" t="s">
        <v>27</v>
      </c>
      <c r="Q15" s="85" t="s">
        <v>42</v>
      </c>
      <c r="R15" s="85"/>
      <c r="S15" s="85"/>
      <c r="T15" s="12" t="s">
        <v>51</v>
      </c>
      <c r="U15" s="37" t="s">
        <v>45</v>
      </c>
      <c r="V15" s="38" t="s">
        <v>48</v>
      </c>
    </row>
    <row r="16" spans="1:23">
      <c r="A16" s="40"/>
      <c r="B16" s="27" t="s">
        <v>30</v>
      </c>
      <c r="C16" s="8"/>
      <c r="D16" s="1" t="str">
        <f>IF(C16,C16+Q5,"")</f>
        <v/>
      </c>
      <c r="E16" s="72" t="str">
        <f>IF(C16,C16/D16,"")</f>
        <v/>
      </c>
      <c r="F16" s="14" t="str">
        <f>IF(AND(C16&lt;&gt;"",N3&lt;&gt;""),(M5/F5*E3+M6/F6*D3)/(C16+U5),"")</f>
        <v/>
      </c>
      <c r="G16" s="1" t="str">
        <f>IF(C16,IF(AND(F5&lt;&gt;0,C3&lt;&gt;0),M6,M6/F6*D3)/(C16+U6),"")</f>
        <v/>
      </c>
      <c r="H16" s="1" t="str">
        <f>IF(C16,(M7)/(C16+U7),"")</f>
        <v/>
      </c>
      <c r="I16" s="1" t="str">
        <f>IF(C16,(M8)/(C16+U8),"")</f>
        <v/>
      </c>
      <c r="J16" s="1" t="str">
        <f>IF(C16,(M9)/(C16+U9),"")</f>
        <v/>
      </c>
      <c r="K16" s="14" t="str">
        <f>IF(AND(C16&lt;&gt;"",N3&lt;&gt;""),9.8*N3*LN((C16+U5)/(C16+V5)),"")</f>
        <v/>
      </c>
      <c r="L16" s="1" t="str">
        <f>IF(C16,9.8*F6*LN((C16+U6)/(C16+V6)),"")</f>
        <v/>
      </c>
      <c r="M16" s="1" t="str">
        <f>IF(C16,9.8*F7*LN((C16+U7)/(C16+V7)),"")</f>
        <v/>
      </c>
      <c r="N16" s="1" t="str">
        <f>IF(C16,9.8*F8*LN((C16+U8)/(C16+V8)),"")</f>
        <v/>
      </c>
      <c r="O16" s="1" t="str">
        <f>IF(C16,9.8*F9*LN((C16+U9)/(C16+V9)),"")</f>
        <v/>
      </c>
      <c r="P16" s="15" t="str">
        <f>IF(C16,SUM(K16:O16),"")</f>
        <v/>
      </c>
      <c r="Q16" s="1"/>
      <c r="R16" s="1"/>
      <c r="S16" s="1"/>
      <c r="T16" s="32" t="str">
        <f>IF(OR(F16&lt;1,AND(F16="",G16&lt;1)),"起飞推重比不得小于0，空天飞机除外","")</f>
        <v/>
      </c>
      <c r="U16" s="1"/>
      <c r="V16" s="1"/>
    </row>
    <row r="17" spans="1:22">
      <c r="A17" s="47"/>
      <c r="B17" s="27" t="s">
        <v>31</v>
      </c>
      <c r="C17" s="9"/>
      <c r="D17" s="1" t="str">
        <f>IF(C17,C17+Q5,"")</f>
        <v/>
      </c>
      <c r="E17" s="72" t="str">
        <f t="shared" ref="E17:E19" si="4">IF(C17,C17/D17,"")</f>
        <v/>
      </c>
      <c r="F17" s="14" t="str">
        <f>IF(AND(C17&lt;&gt;"",N3&lt;&gt;""),(M5/F5*E3+M6/F6*D3)/(C17+U5),"")</f>
        <v/>
      </c>
      <c r="G17" s="1" t="str">
        <f>IF(C17,IF(AND(F5&lt;&gt;0,C3&lt;&gt;0),M6,M6/F6*D3)/(C17+U6),"")</f>
        <v/>
      </c>
      <c r="H17" s="1" t="str">
        <f>IF(C17,(M7)/(C17+U7),"")</f>
        <v/>
      </c>
      <c r="I17" s="1" t="str">
        <f>IF(C17,(M8)/(C17+U8),"")</f>
        <v/>
      </c>
      <c r="J17" s="1" t="str">
        <f>IF(C17,(M9)/(C17+U9),"")</f>
        <v/>
      </c>
      <c r="K17" s="14" t="str">
        <f>IF(AND(C17&lt;&gt;"",N3&lt;&gt;""),9.8*N3*LN((C17+U5)/(C17+V5)),"")</f>
        <v/>
      </c>
      <c r="L17" s="1" t="str">
        <f>IF(C17,9.8*F6*LN((C17+U6)/(C17+V6)),"")</f>
        <v/>
      </c>
      <c r="M17" s="1" t="str">
        <f>IF(C17,9.8*F7*LN((C17+U7)/(C17+V7)),"")</f>
        <v/>
      </c>
      <c r="N17" s="1" t="str">
        <f>IF(C17,9.8*F8*LN((C17+U8)/(C17+V8)),"")</f>
        <v/>
      </c>
      <c r="O17" s="1" t="str">
        <f>IF(C17,9.8*F9*LN((C17+U9)/(C17+V9)),"")</f>
        <v/>
      </c>
      <c r="P17" s="15" t="str">
        <f>IF(C17,SUM(K17:O17),"")</f>
        <v/>
      </c>
      <c r="Q17" s="1"/>
      <c r="R17" s="1"/>
      <c r="S17" s="1"/>
      <c r="T17" s="32" t="str">
        <f t="shared" ref="T17:T19" si="5">IF(OR(F17&lt;1,AND(F17="",G17&lt;1)),"起飞推重比不得小于0，空天飞机除外","")</f>
        <v/>
      </c>
      <c r="U17" s="1"/>
      <c r="V17" s="1"/>
    </row>
    <row r="18" spans="1:22">
      <c r="A18" s="47"/>
      <c r="B18" s="27" t="s">
        <v>32</v>
      </c>
      <c r="C18" s="9"/>
      <c r="D18" s="1" t="str">
        <f>IF(C18,C18+Q5,"")</f>
        <v/>
      </c>
      <c r="E18" s="72" t="str">
        <f t="shared" si="4"/>
        <v/>
      </c>
      <c r="F18" s="14" t="str">
        <f>IF(AND(C18&lt;&gt;"",N3&lt;&gt;""),(M5/F5*E3+M6/F6*D3)/(C18+U5),"")</f>
        <v/>
      </c>
      <c r="G18" s="1" t="str">
        <f>IF(C18,IF(AND(F5&lt;&gt;0,C3&lt;&gt;0),M6,M6/F6*D3)/(C18+U6),"")</f>
        <v/>
      </c>
      <c r="H18" s="1" t="str">
        <f>IF(C18,(M7)/(C18+U7),"")</f>
        <v/>
      </c>
      <c r="I18" s="1" t="str">
        <f>IF(C18,(M8)/(C18+U8),"")</f>
        <v/>
      </c>
      <c r="J18" s="1" t="str">
        <f>IF(C18,(M9)/(C18+U9),"")</f>
        <v/>
      </c>
      <c r="K18" s="14" t="str">
        <f>IF(AND(C18&lt;&gt;"",N3&lt;&gt;""),9.8*N3*LN((C18+U5)/(C18+V5)),"")</f>
        <v/>
      </c>
      <c r="L18" s="1" t="str">
        <f>IF(C18,9.8*F6*LN((C18+U6)/(C18+V6)),"")</f>
        <v/>
      </c>
      <c r="M18" s="1" t="str">
        <f>IF(C18,9.8*F7*LN((C18+U7)/(C18+V7)),"")</f>
        <v/>
      </c>
      <c r="N18" s="1" t="str">
        <f>IF(C18,9.8*F8*LN((C18+U8)/(C18+V8)),"")</f>
        <v/>
      </c>
      <c r="O18" s="1" t="str">
        <f>IF(C18,9.8*F9*LN((C18+U9)/(C18+V9)),"")</f>
        <v/>
      </c>
      <c r="P18" s="15" t="str">
        <f>IF(C18,SUM(K18:O18),"")</f>
        <v/>
      </c>
      <c r="Q18" s="1"/>
      <c r="R18" s="1"/>
      <c r="S18" s="1"/>
      <c r="T18" s="32" t="str">
        <f t="shared" si="5"/>
        <v/>
      </c>
      <c r="U18" s="1"/>
      <c r="V18" s="1"/>
    </row>
    <row r="19" spans="1:22" ht="15" thickBot="1">
      <c r="A19" s="48" t="s">
        <v>46</v>
      </c>
      <c r="B19" s="49" t="s">
        <v>33</v>
      </c>
      <c r="C19" s="50"/>
      <c r="D19" s="25" t="str">
        <f>IF(C19,C19+Q5,"")</f>
        <v/>
      </c>
      <c r="E19" s="73" t="str">
        <f t="shared" si="4"/>
        <v/>
      </c>
      <c r="F19" s="70" t="str">
        <f>IF(AND(C19&lt;&gt;"",N3&lt;&gt;""),(M5/F5*E3+M6/F6*D3)/(C19+U5),"")</f>
        <v/>
      </c>
      <c r="G19" s="25" t="str">
        <f>IF(C19,IF(AND(F5&lt;&gt;0,C3&lt;&gt;0),M6,M6/F6*D3)/(C19+U6),"")</f>
        <v/>
      </c>
      <c r="H19" s="25" t="str">
        <f>IF(C19,(M7)/(C19+U7),"")</f>
        <v/>
      </c>
      <c r="I19" s="25" t="str">
        <f>IF(C19,(M8)/(C19+U8),"")</f>
        <v/>
      </c>
      <c r="J19" s="25" t="str">
        <f>IF(C19,(M9)/(C19+U9),"")</f>
        <v/>
      </c>
      <c r="K19" s="70" t="str">
        <f>IF(AND(C19&lt;&gt;"",N3&lt;&gt;""),9.8*N3*LN((C19+U5)/(C19+V5)),"")</f>
        <v/>
      </c>
      <c r="L19" s="25" t="str">
        <f>IF(C19,9.8*F6*LN((C19+U6)/(C19+V6)),"")</f>
        <v/>
      </c>
      <c r="M19" s="25" t="str">
        <f>IF(C19,9.8*F7*LN((C19+U7)/(C19+V7)),"")</f>
        <v/>
      </c>
      <c r="N19" s="25" t="str">
        <f>IF(C19,9.8*F8*LN((C19+U8)/(C19+V8)),"")</f>
        <v/>
      </c>
      <c r="O19" s="25" t="str">
        <f>IF(C19,9.8*F9*LN((C19+U9)/(C19+V9)),"")</f>
        <v/>
      </c>
      <c r="P19" s="71" t="str">
        <f>IF(C19,SUM(K19:O19),"")</f>
        <v/>
      </c>
      <c r="Q19" s="25"/>
      <c r="R19" s="25"/>
      <c r="S19" s="25"/>
      <c r="T19" s="51" t="str">
        <f t="shared" si="5"/>
        <v/>
      </c>
      <c r="U19" s="25"/>
      <c r="V19" s="25"/>
    </row>
    <row r="20" spans="1:2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2" spans="1:22">
      <c r="A22" t="s">
        <v>66</v>
      </c>
    </row>
    <row r="23" spans="1:22">
      <c r="A23" t="s">
        <v>609</v>
      </c>
    </row>
    <row r="24" spans="1:22">
      <c r="A24" t="s">
        <v>116</v>
      </c>
    </row>
    <row r="25" spans="1:22">
      <c r="A25" t="s">
        <v>117</v>
      </c>
    </row>
    <row r="26" spans="1:22">
      <c r="A26" t="s">
        <v>149</v>
      </c>
    </row>
    <row r="27" spans="1:22">
      <c r="A27" t="s">
        <v>625</v>
      </c>
    </row>
    <row r="28" spans="1:22">
      <c r="A28" t="s">
        <v>611</v>
      </c>
    </row>
    <row r="29" spans="1:22">
      <c r="A29" s="58" t="s">
        <v>610</v>
      </c>
    </row>
    <row r="30" spans="1:22">
      <c r="A30" t="s">
        <v>651</v>
      </c>
    </row>
  </sheetData>
  <mergeCells count="7">
    <mergeCell ref="Q10:S10"/>
    <mergeCell ref="Q15:S15"/>
    <mergeCell ref="M2:O2"/>
    <mergeCell ref="S3:V3"/>
    <mergeCell ref="D2:E2"/>
    <mergeCell ref="I2:K2"/>
    <mergeCell ref="P3:R3"/>
  </mergeCells>
  <phoneticPr fontId="1" type="noConversion"/>
  <conditionalFormatting sqref="P6">
    <cfRule type="expression" dxfId="1196" priority="19">
      <formula>P6&lt;P5</formula>
    </cfRule>
  </conditionalFormatting>
  <conditionalFormatting sqref="T6">
    <cfRule type="expression" dxfId="1195" priority="18">
      <formula>T6&lt;T5</formula>
    </cfRule>
  </conditionalFormatting>
  <conditionalFormatting sqref="L5:V9 D11:D14 F11:J14 D16:D19 F16:J19">
    <cfRule type="expression" dxfId="1194" priority="17">
      <formula>ROUND(D5,3)&lt;&gt;D5</formula>
    </cfRule>
  </conditionalFormatting>
  <conditionalFormatting sqref="K11:P14 K16:P19">
    <cfRule type="expression" dxfId="1193" priority="16">
      <formula>ROUND(K11,1)&lt;&gt;K11</formula>
    </cfRule>
  </conditionalFormatting>
  <conditionalFormatting sqref="L5:V9 D11:D14 F11:P14 D16:D19 F16:P19">
    <cfRule type="expression" dxfId="1192" priority="15">
      <formula>D5=0</formula>
    </cfRule>
  </conditionalFormatting>
  <conditionalFormatting sqref="F11:F14 F16:F19">
    <cfRule type="expression" dxfId="1191" priority="12">
      <formula>AND(T11&lt;&gt;"",F11&lt;&gt;"")</formula>
    </cfRule>
  </conditionalFormatting>
  <conditionalFormatting sqref="G11:G14 G16:G19">
    <cfRule type="expression" dxfId="1190" priority="11">
      <formula>AND(T11&lt;&gt;"",F11="")</formula>
    </cfRule>
  </conditionalFormatting>
  <conditionalFormatting sqref="L3">
    <cfRule type="expression" dxfId="1189" priority="5">
      <formula>ROUND(L3,3)&lt;&gt;L3</formula>
    </cfRule>
    <cfRule type="expression" dxfId="1188" priority="10">
      <formula>L3=0</formula>
    </cfRule>
  </conditionalFormatting>
  <conditionalFormatting sqref="Q5">
    <cfRule type="expression" dxfId="1187" priority="9">
      <formula>NOT(AND(F5&lt;&gt;0,C3&lt;&gt;0))</formula>
    </cfRule>
  </conditionalFormatting>
  <conditionalFormatting sqref="R5">
    <cfRule type="expression" dxfId="1186" priority="8">
      <formula>NOT(AND(F5&lt;&gt;0,C3&lt;&gt;0))</formula>
    </cfRule>
  </conditionalFormatting>
  <conditionalFormatting sqref="U5">
    <cfRule type="expression" dxfId="1185" priority="7">
      <formula>NOT(AND(F5&lt;&gt;0,C3&lt;&gt;0))</formula>
    </cfRule>
  </conditionalFormatting>
  <conditionalFormatting sqref="V5">
    <cfRule type="expression" dxfId="1184" priority="6">
      <formula>NOT(AND(F5&lt;&gt;0,C3&lt;&gt;0))</formula>
    </cfRule>
  </conditionalFormatting>
  <conditionalFormatting sqref="H3">
    <cfRule type="expression" dxfId="1183" priority="2">
      <formula>ROUND(IF(H3="隐藏水印。作者：战犬金龟（贴吧/B站）",1,0),1)</formula>
    </cfRule>
  </conditionalFormatting>
  <conditionalFormatting sqref="N3">
    <cfRule type="expression" dxfId="1182" priority="1">
      <formula>ROUND(N3,1)&lt;&gt;N3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I85" sqref="I85"/>
    </sheetView>
  </sheetViews>
  <sheetFormatPr defaultRowHeight="14.4"/>
  <sheetData>
    <row r="1" spans="1:1">
      <c r="A1" t="s">
        <v>545</v>
      </c>
    </row>
    <row r="2" spans="1:1">
      <c r="A2" t="s">
        <v>546</v>
      </c>
    </row>
    <row r="3" spans="1:1">
      <c r="A3" t="s">
        <v>547</v>
      </c>
    </row>
    <row r="4" spans="1:1">
      <c r="A4" t="s">
        <v>548</v>
      </c>
    </row>
    <row r="5" spans="1:1">
      <c r="A5" t="s">
        <v>549</v>
      </c>
    </row>
    <row r="6" spans="1:1">
      <c r="A6" t="s">
        <v>579</v>
      </c>
    </row>
    <row r="7" spans="1:1">
      <c r="A7" t="s">
        <v>580</v>
      </c>
    </row>
    <row r="9" spans="1:1">
      <c r="A9" t="s">
        <v>550</v>
      </c>
    </row>
    <row r="10" spans="1:1">
      <c r="A10" t="s">
        <v>578</v>
      </c>
    </row>
    <row r="11" spans="1:1">
      <c r="A11" t="s">
        <v>551</v>
      </c>
    </row>
    <row r="12" spans="1:1">
      <c r="A12" t="s">
        <v>552</v>
      </c>
    </row>
    <row r="13" spans="1:1">
      <c r="A13" t="s">
        <v>584</v>
      </c>
    </row>
    <row r="14" spans="1:1">
      <c r="A14" t="s">
        <v>581</v>
      </c>
    </row>
    <row r="15" spans="1:1">
      <c r="A15" t="s">
        <v>640</v>
      </c>
    </row>
    <row r="17" spans="1:1">
      <c r="A17" t="s">
        <v>583</v>
      </c>
    </row>
    <row r="19" spans="1:1">
      <c r="A19" t="s">
        <v>553</v>
      </c>
    </row>
    <row r="20" spans="1:1">
      <c r="A20" t="s">
        <v>554</v>
      </c>
    </row>
    <row r="22" spans="1:1">
      <c r="A22" t="s">
        <v>595</v>
      </c>
    </row>
    <row r="23" spans="1:1">
      <c r="A23" t="s">
        <v>555</v>
      </c>
    </row>
    <row r="24" spans="1:1">
      <c r="A24" t="s">
        <v>556</v>
      </c>
    </row>
    <row r="25" spans="1:1">
      <c r="A25" t="s">
        <v>557</v>
      </c>
    </row>
    <row r="26" spans="1:1">
      <c r="A26" t="s">
        <v>642</v>
      </c>
    </row>
    <row r="27" spans="1:1">
      <c r="A27" t="s">
        <v>641</v>
      </c>
    </row>
    <row r="28" spans="1:1">
      <c r="A28" t="s">
        <v>652</v>
      </c>
    </row>
    <row r="30" spans="1:1">
      <c r="A30" t="s">
        <v>585</v>
      </c>
    </row>
    <row r="31" spans="1:1">
      <c r="A31" t="s">
        <v>591</v>
      </c>
    </row>
    <row r="32" spans="1:1">
      <c r="A32" t="s">
        <v>592</v>
      </c>
    </row>
    <row r="33" spans="1:6">
      <c r="A33" t="s">
        <v>593</v>
      </c>
    </row>
    <row r="34" spans="1:6">
      <c r="A34" t="s">
        <v>594</v>
      </c>
    </row>
    <row r="35" spans="1:6">
      <c r="A35" t="s">
        <v>597</v>
      </c>
    </row>
    <row r="36" spans="1:6">
      <c r="A36" t="s">
        <v>558</v>
      </c>
    </row>
    <row r="37" spans="1:6">
      <c r="A37" t="s">
        <v>590</v>
      </c>
    </row>
    <row r="38" spans="1:6">
      <c r="A38" t="s">
        <v>596</v>
      </c>
    </row>
    <row r="40" spans="1:6">
      <c r="A40" t="s">
        <v>598</v>
      </c>
    </row>
    <row r="41" spans="1:6">
      <c r="A41" s="67" t="s">
        <v>599</v>
      </c>
      <c r="F41" t="s">
        <v>605</v>
      </c>
    </row>
    <row r="42" spans="1:6">
      <c r="A42" s="67" t="s">
        <v>600</v>
      </c>
      <c r="F42" t="s">
        <v>606</v>
      </c>
    </row>
    <row r="43" spans="1:6">
      <c r="A43" s="67" t="s">
        <v>601</v>
      </c>
      <c r="F43" t="s">
        <v>602</v>
      </c>
    </row>
    <row r="44" spans="1:6">
      <c r="A44" s="67" t="s">
        <v>603</v>
      </c>
      <c r="F44" t="s">
        <v>604</v>
      </c>
    </row>
    <row r="45" spans="1:6">
      <c r="A45" s="67" t="s">
        <v>607</v>
      </c>
      <c r="F45" t="s">
        <v>608</v>
      </c>
    </row>
    <row r="46" spans="1:6">
      <c r="A46" s="67"/>
    </row>
    <row r="48" spans="1:6">
      <c r="A48" t="s">
        <v>589</v>
      </c>
    </row>
    <row r="49" spans="1:1">
      <c r="A49" t="s">
        <v>577</v>
      </c>
    </row>
    <row r="50" spans="1:1">
      <c r="A50" t="s">
        <v>576</v>
      </c>
    </row>
    <row r="51" spans="1:1">
      <c r="A51" t="s">
        <v>575</v>
      </c>
    </row>
    <row r="52" spans="1:1">
      <c r="A52" t="s">
        <v>574</v>
      </c>
    </row>
    <row r="53" spans="1:1">
      <c r="A53" t="s">
        <v>573</v>
      </c>
    </row>
    <row r="54" spans="1:1">
      <c r="A54" t="s">
        <v>564</v>
      </c>
    </row>
    <row r="55" spans="1:1">
      <c r="A55" s="67" t="s">
        <v>586</v>
      </c>
    </row>
    <row r="56" spans="1:1">
      <c r="A56" t="s">
        <v>559</v>
      </c>
    </row>
    <row r="58" spans="1:1">
      <c r="A58" t="s">
        <v>588</v>
      </c>
    </row>
    <row r="59" spans="1:1">
      <c r="A59" s="67" t="s">
        <v>587</v>
      </c>
    </row>
    <row r="60" spans="1:1">
      <c r="A60" t="s">
        <v>565</v>
      </c>
    </row>
    <row r="61" spans="1:1">
      <c r="A61" t="s">
        <v>566</v>
      </c>
    </row>
    <row r="62" spans="1:1">
      <c r="A62" t="s">
        <v>560</v>
      </c>
    </row>
    <row r="63" spans="1:1">
      <c r="A63" t="s">
        <v>567</v>
      </c>
    </row>
    <row r="65" spans="1:1">
      <c r="A65" t="s">
        <v>568</v>
      </c>
    </row>
    <row r="66" spans="1:1">
      <c r="A66" t="s">
        <v>569</v>
      </c>
    </row>
    <row r="67" spans="1:1">
      <c r="A67" t="s">
        <v>570</v>
      </c>
    </row>
    <row r="68" spans="1:1">
      <c r="A68" t="s">
        <v>571</v>
      </c>
    </row>
    <row r="69" spans="1:1">
      <c r="A69" t="s">
        <v>572</v>
      </c>
    </row>
    <row r="70" spans="1:1">
      <c r="A70" t="s">
        <v>561</v>
      </c>
    </row>
    <row r="71" spans="1:1">
      <c r="A71" t="s">
        <v>562</v>
      </c>
    </row>
    <row r="73" spans="1:1">
      <c r="A73" t="s">
        <v>563</v>
      </c>
    </row>
  </sheetData>
  <phoneticPr fontId="1" type="noConversion"/>
  <hyperlinks>
    <hyperlink ref="A55" r:id="rId1"/>
    <hyperlink ref="A59" r:id="rId2"/>
    <hyperlink ref="A41" r:id="rId3"/>
    <hyperlink ref="A43" r:id="rId4"/>
    <hyperlink ref="A44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5"/>
  <sheetViews>
    <sheetView zoomScaleNormal="100" workbookViewId="0">
      <selection activeCell="W4" sqref="W4"/>
    </sheetView>
  </sheetViews>
  <sheetFormatPr defaultRowHeight="14.4"/>
  <sheetData>
    <row r="1" spans="1:23">
      <c r="A1" s="57" t="s">
        <v>72</v>
      </c>
    </row>
    <row r="3" spans="1:23">
      <c r="A3" s="57" t="s">
        <v>300</v>
      </c>
      <c r="B3" s="92" t="str">
        <f ca="1">HYPERLINK("#A5",INDIRECT("A5"))</f>
        <v>长征9号（23版）</v>
      </c>
      <c r="C3" s="93"/>
      <c r="D3" s="92" t="str">
        <f ca="1">HYPERLINK("#A24",INDIRECT("A24"))</f>
        <v>长征9B（23版）</v>
      </c>
      <c r="E3" s="93"/>
      <c r="F3" s="92" t="str">
        <f ca="1">HYPERLINK("#A43",INDIRECT("A43"))</f>
        <v>长征9号（22版）</v>
      </c>
      <c r="G3" s="92"/>
      <c r="H3" s="92" t="str">
        <f ca="1">HYPERLINK("#A62",INDIRECT("A62"))</f>
        <v>长征9B（22版）</v>
      </c>
      <c r="I3" s="93"/>
      <c r="J3" s="92" t="str">
        <f ca="1">HYPERLINK("#A81",INDIRECT("A81"))</f>
        <v>长征9号（16版）</v>
      </c>
      <c r="K3" s="93"/>
      <c r="L3" s="92" t="str">
        <f ca="1">HYPERLINK("#A100",INDIRECT("A100"))</f>
        <v>长征10号</v>
      </c>
      <c r="M3" s="93"/>
      <c r="N3" s="92" t="str">
        <f ca="1">HYPERLINK("#A119",INDIRECT("A119"))</f>
        <v>长征10B</v>
      </c>
      <c r="O3" s="93"/>
      <c r="P3" s="92" t="str">
        <f ca="1">HYPERLINK("#A138",INDIRECT("A138"))</f>
        <v>长征10C（光杆）</v>
      </c>
      <c r="Q3" s="93"/>
      <c r="R3" s="92">
        <f ca="1">HYPERLINK("#A157",INDIRECT("A157"))</f>
        <v>0</v>
      </c>
      <c r="S3" s="93"/>
      <c r="T3" s="92">
        <f ca="1">HYPERLINK("#A176",INDIRECT("A176"))</f>
        <v>0</v>
      </c>
      <c r="U3" s="93"/>
      <c r="V3" s="92">
        <f ca="1">HYPERLINK("#A195",INDIRECT("A195"))</f>
        <v>0</v>
      </c>
      <c r="W3" s="93"/>
    </row>
    <row r="4" spans="1:23" ht="15" thickBot="1"/>
    <row r="5" spans="1:23" ht="15" thickBot="1">
      <c r="A5" s="52" t="s">
        <v>76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105</v>
      </c>
      <c r="B6" s="39"/>
      <c r="C6" s="2">
        <v>0</v>
      </c>
      <c r="D6" s="2">
        <v>319</v>
      </c>
      <c r="E6" s="2">
        <v>0</v>
      </c>
      <c r="F6" s="41"/>
      <c r="G6" s="42"/>
      <c r="H6" s="42"/>
      <c r="I6" s="24" t="s">
        <v>82</v>
      </c>
      <c r="J6" s="24"/>
      <c r="K6" s="24"/>
      <c r="L6" s="55">
        <f>IFERROR(IF(AND(F8&lt;&gt;0,C6&lt;&gt;0),M8/F8*E6+M9/F9*D6,M9/F9*D6),0)</f>
        <v>6122.6554621848736</v>
      </c>
      <c r="M6" s="53" t="s">
        <v>45</v>
      </c>
      <c r="N6" s="17" t="str">
        <f>IF(AND(F8&lt;&gt;0,C6&lt;&gt;0),(M8+M9)/(M8/F8+M9/F9),"")</f>
        <v/>
      </c>
      <c r="O6" s="56" t="s">
        <v>45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60" t="str">
        <f>HYPERLINK(":\Reference\长征九号23版.jpg","长征九号23版.jpg")</f>
        <v>长征九号23版.jpg</v>
      </c>
      <c r="J7" s="24"/>
      <c r="K7" s="24"/>
      <c r="L7" s="11" t="s">
        <v>6</v>
      </c>
      <c r="M7" s="12" t="s">
        <v>69</v>
      </c>
      <c r="N7" s="12" t="s">
        <v>13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12</v>
      </c>
      <c r="U7" s="1" t="s">
        <v>10</v>
      </c>
      <c r="V7" s="1" t="s">
        <v>11</v>
      </c>
    </row>
    <row r="8" spans="1:23">
      <c r="A8" s="40"/>
      <c r="B8" s="27" t="s">
        <v>3</v>
      </c>
      <c r="C8" s="3"/>
      <c r="D8" s="4"/>
      <c r="E8" s="4"/>
      <c r="F8" s="4"/>
      <c r="G8" s="19"/>
      <c r="H8" s="20"/>
      <c r="I8" s="60" t="str">
        <f>HYPERLINK(":\Reference\全流量补燃循环液氧甲烷发动机系统方案研究.png","全流量补燃循环液氧甲烷发动机系统方案研究.png")</f>
        <v>全流量补燃循环液氧甲烷发动机系统方案研究.png</v>
      </c>
      <c r="J8" s="24"/>
      <c r="K8" s="24"/>
      <c r="L8" s="14">
        <f>C8*C6</f>
        <v>0</v>
      </c>
      <c r="M8" s="1">
        <f>E8*C6</f>
        <v>0</v>
      </c>
      <c r="N8" s="1">
        <f>IF(D8,L8/D8,0)</f>
        <v>0</v>
      </c>
      <c r="O8" s="15">
        <f>L8-N8</f>
        <v>0</v>
      </c>
      <c r="P8" s="14">
        <f>IF(AND(F8&lt;&gt;0,C6&lt;&gt;0),O8/M8*F8/IF(G8,G8,1),0)</f>
        <v>0</v>
      </c>
      <c r="Q8" s="1">
        <f>SUM(L8:L12)</f>
        <v>4299</v>
      </c>
      <c r="R8" s="15">
        <f>N8+Q9</f>
        <v>4299</v>
      </c>
      <c r="S8" s="14">
        <f>N8+H8*O8</f>
        <v>0</v>
      </c>
      <c r="T8" s="1">
        <f>IF(AND(F8&lt;&gt;0,C6&lt;&gt;0),(1-H8)*O8/M8*F8/IF(G8,G8,1),0)</f>
        <v>0</v>
      </c>
      <c r="U8" s="1">
        <f>SUM(L8:L12)</f>
        <v>4299</v>
      </c>
      <c r="V8" s="1">
        <f>S8+U9</f>
        <v>4299</v>
      </c>
    </row>
    <row r="9" spans="1:23">
      <c r="A9" s="47"/>
      <c r="B9" s="27">
        <v>1</v>
      </c>
      <c r="C9" s="5">
        <v>3732</v>
      </c>
      <c r="D9" s="1">
        <v>12</v>
      </c>
      <c r="E9" s="1">
        <v>6852</v>
      </c>
      <c r="F9" s="1">
        <v>357</v>
      </c>
      <c r="G9" s="5">
        <v>1</v>
      </c>
      <c r="H9" s="21">
        <v>0.11</v>
      </c>
      <c r="I9" s="30" t="s">
        <v>393</v>
      </c>
      <c r="J9" s="30"/>
      <c r="K9" s="30"/>
      <c r="L9" s="14">
        <f>C9</f>
        <v>3732</v>
      </c>
      <c r="M9" s="1">
        <f>E9</f>
        <v>6852</v>
      </c>
      <c r="N9" s="1">
        <f>IF(D9,L9/D9,0)</f>
        <v>311</v>
      </c>
      <c r="O9" s="15">
        <f>L9-N9</f>
        <v>3421</v>
      </c>
      <c r="P9" s="14">
        <f t="shared" ref="P9:P12" si="0">IF(F9,O9/M9*F9/IF(G9,G9,1),0)</f>
        <v>178.23949211908931</v>
      </c>
      <c r="Q9" s="1">
        <f>IF(F9,SUM(L9:L12)-P8*M9/F9*IF(G9,G9,1),0)</f>
        <v>4299</v>
      </c>
      <c r="R9" s="15">
        <f>N9+Q10</f>
        <v>878</v>
      </c>
      <c r="S9" s="14">
        <f>N9+H9*O9</f>
        <v>687.31</v>
      </c>
      <c r="T9" s="1">
        <f>IF(F9,(1-H9)*O9/M9*F9/IF(G9,G9,1),0)</f>
        <v>158.6331479859895</v>
      </c>
      <c r="U9" s="1">
        <f>IF(F9,SUM(L9:L12)-T8*M9/F9*IF(G9,G9,1),0)</f>
        <v>4299</v>
      </c>
      <c r="V9" s="1">
        <f>S9+U10</f>
        <v>1254.31</v>
      </c>
    </row>
    <row r="10" spans="1:23">
      <c r="A10" s="47"/>
      <c r="B10" s="27">
        <v>2</v>
      </c>
      <c r="C10" s="5">
        <v>404</v>
      </c>
      <c r="D10" s="1">
        <v>12</v>
      </c>
      <c r="E10" s="1">
        <v>480</v>
      </c>
      <c r="F10" s="1">
        <v>375</v>
      </c>
      <c r="G10" s="5"/>
      <c r="H10" s="21"/>
      <c r="I10" s="30" t="s">
        <v>83</v>
      </c>
      <c r="J10" s="30"/>
      <c r="K10" s="30"/>
      <c r="L10" s="14">
        <f>C10</f>
        <v>404</v>
      </c>
      <c r="M10" s="1">
        <f>E10</f>
        <v>480</v>
      </c>
      <c r="N10" s="1">
        <f>IF(D10,L10/D10,0)</f>
        <v>33.666666666666664</v>
      </c>
      <c r="O10" s="15">
        <f>L10-N10</f>
        <v>370.33333333333331</v>
      </c>
      <c r="P10" s="14">
        <f t="shared" si="0"/>
        <v>289.32291666666663</v>
      </c>
      <c r="Q10" s="1">
        <f>SUM(L10:L12)</f>
        <v>567</v>
      </c>
      <c r="R10" s="15">
        <f>N10+Q11</f>
        <v>196.66666666666666</v>
      </c>
      <c r="S10" s="14">
        <f>N10+H10*O10</f>
        <v>33.666666666666664</v>
      </c>
      <c r="T10" s="1">
        <f t="shared" ref="T10:T12" si="1">IF(F10,(1-H10)*O10/M10*F10/IF(G10,G10,1),0)</f>
        <v>289.32291666666663</v>
      </c>
      <c r="U10" s="1">
        <f>SUM(L10:L12)</f>
        <v>567</v>
      </c>
      <c r="V10" s="1">
        <f>S10+U11</f>
        <v>196.66666666666666</v>
      </c>
    </row>
    <row r="11" spans="1:23">
      <c r="A11" s="33" t="s">
        <v>45</v>
      </c>
      <c r="B11" s="27">
        <v>3</v>
      </c>
      <c r="C11" s="5">
        <v>163</v>
      </c>
      <c r="D11" s="1">
        <v>7</v>
      </c>
      <c r="E11" s="1">
        <v>102</v>
      </c>
      <c r="F11" s="1">
        <v>456</v>
      </c>
      <c r="G11" s="5"/>
      <c r="H11" s="21"/>
      <c r="I11" s="30" t="s">
        <v>84</v>
      </c>
      <c r="J11" s="30"/>
      <c r="K11" s="30"/>
      <c r="L11" s="14">
        <f>C11</f>
        <v>163</v>
      </c>
      <c r="M11" s="1">
        <f>E11</f>
        <v>102</v>
      </c>
      <c r="N11" s="1">
        <f>IF(D11,L11/D11,0)</f>
        <v>23.285714285714285</v>
      </c>
      <c r="O11" s="15">
        <f>L11-N11</f>
        <v>139.71428571428572</v>
      </c>
      <c r="P11" s="14">
        <f t="shared" si="0"/>
        <v>624.60504201680669</v>
      </c>
      <c r="Q11" s="1">
        <f>SUM(L11:L12)</f>
        <v>163</v>
      </c>
      <c r="R11" s="15">
        <f>N11+Q12</f>
        <v>23.285714285714285</v>
      </c>
      <c r="S11" s="14">
        <f>N11+H11*O11</f>
        <v>23.285714285714285</v>
      </c>
      <c r="T11" s="1">
        <f t="shared" si="1"/>
        <v>624.60504201680669</v>
      </c>
      <c r="U11" s="1">
        <f>SUM(L11:L12)</f>
        <v>163</v>
      </c>
      <c r="V11" s="1">
        <f>S11+U12</f>
        <v>23.285714285714285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30" t="s">
        <v>237</v>
      </c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265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94" t="s">
        <v>42</v>
      </c>
      <c r="R13" s="85"/>
      <c r="S13" s="85"/>
      <c r="T13" s="31" t="s">
        <v>50</v>
      </c>
      <c r="U13" s="35" t="s">
        <v>47</v>
      </c>
      <c r="V13" s="36" t="s">
        <v>264</v>
      </c>
    </row>
    <row r="14" spans="1:23">
      <c r="A14" s="47"/>
      <c r="B14" s="27" t="s">
        <v>30</v>
      </c>
      <c r="C14" s="8">
        <v>221</v>
      </c>
      <c r="D14" s="1">
        <f>IF(C14,C14+Q8,"")</f>
        <v>4520</v>
      </c>
      <c r="E14" s="72">
        <f>IF(C14,C14/D14,"")</f>
        <v>4.8893805309734514E-2</v>
      </c>
      <c r="F14" s="14" t="str">
        <f>IF(AND(C14&lt;&gt;"",N6&lt;&gt;""),(M8/F8*E6+M9/F9*D6)/(C14+Q8),"")</f>
        <v/>
      </c>
      <c r="G14" s="1">
        <f>IF(C14,IF(AND(F8&lt;&gt;0,C6&lt;&gt;0),M9,M9/F9*D6)/(C14+Q9),"")</f>
        <v>1.3545697925187774</v>
      </c>
      <c r="H14" s="1">
        <f>IF(C14,(M10)/(C14+Q10),"")</f>
        <v>0.6091370558375635</v>
      </c>
      <c r="I14" s="1">
        <f>IF(C14,(M11)/(C14+Q11),"")</f>
        <v>0.265625</v>
      </c>
      <c r="J14" s="1">
        <f>IF(C14,(M12)/(C14+Q12),"")</f>
        <v>0</v>
      </c>
      <c r="K14" s="14" t="str">
        <f>IF(AND(C14&lt;&gt;"",N6&lt;&gt;""),9.8*N6*LN((C14+Q8)/(C14+R8)),"")</f>
        <v/>
      </c>
      <c r="L14" s="1">
        <f>IF(C14,9.8*F9*LN((C14+Q9)/(C14+R9)),"")</f>
        <v>4947.4098586335031</v>
      </c>
      <c r="M14" s="1">
        <f>IF(C14,9.8*F10*LN((C14+Q10)/(C14+R10)),"")</f>
        <v>2332.9430068399583</v>
      </c>
      <c r="N14" s="1">
        <f>IF(C14,9.8*F11*LN((C14+Q11)/(C14+R11)),"")</f>
        <v>2021.2563482315402</v>
      </c>
      <c r="O14" s="1">
        <f>IF(C14,9.8*F12*LN((C14+Q12)/(C14+R12)),"")</f>
        <v>0</v>
      </c>
      <c r="P14" s="15">
        <f>IF(C14,SUM(K14:O14),"")</f>
        <v>9301.6092137050018</v>
      </c>
      <c r="Q14" s="1"/>
      <c r="R14" s="1"/>
      <c r="S14" s="1"/>
      <c r="T14" s="32" t="str">
        <f>IF(OR(F14&lt;1,AND(F14="",G14&lt;1)),"起飞推重比不得小于0，空天飞机除外","")</f>
        <v/>
      </c>
      <c r="U14" s="1"/>
      <c r="V14" s="1"/>
    </row>
    <row r="15" spans="1:23">
      <c r="A15" s="33" t="s">
        <v>45</v>
      </c>
      <c r="B15" s="27" t="s">
        <v>31</v>
      </c>
      <c r="C15" s="9">
        <v>94</v>
      </c>
      <c r="D15" s="1">
        <f>IF(C15,C15+Q8,"")</f>
        <v>4393</v>
      </c>
      <c r="E15" s="72">
        <f t="shared" ref="E15:E17" si="2">IF(C15,C15/D15,"")</f>
        <v>2.1397678124288642E-2</v>
      </c>
      <c r="F15" s="14" t="str">
        <f>IF(AND(C15&lt;&gt;"",N6&lt;&gt;""),(M8/F8*E6+M9/F9*D6)/(C15+Q8),"")</f>
        <v/>
      </c>
      <c r="G15" s="1">
        <f>IF(C15,IF(AND(F8&lt;&gt;0,C6&lt;&gt;0),M9,M9/F9*D6)/(C15+Q9),"")</f>
        <v>1.3937299026143577</v>
      </c>
      <c r="H15" s="1">
        <f>IF(C15,(M10)/(C15+Q10),"")</f>
        <v>0.72617246596066565</v>
      </c>
      <c r="I15" s="1">
        <f>IF(C15,(M11)/(C15+Q11),"")</f>
        <v>0.39688715953307391</v>
      </c>
      <c r="J15" s="1">
        <f>IF(C15,(M12)/(C15+Q12),"")</f>
        <v>0</v>
      </c>
      <c r="K15" s="14" t="str">
        <f>IF(AND(C15&lt;&gt;"",N6&lt;&gt;""),9.8*N6*LN((C15+Q8)/(C15+R8)),"")</f>
        <v/>
      </c>
      <c r="L15" s="1">
        <f>IF(C15,9.8*F9*LN((C15+Q9)/(C15+R9)),"")</f>
        <v>5277.3296617283713</v>
      </c>
      <c r="M15" s="1">
        <f>IF(C15,9.8*F10*LN((C15+Q10)/(C15+R10)),"")</f>
        <v>3019.2943894447512</v>
      </c>
      <c r="N15" s="1">
        <f>IF(C15,9.8*F11*LN((C15+Q11)/(C15+R11)),"")</f>
        <v>3505.6088107571322</v>
      </c>
      <c r="O15" s="1">
        <f>IF(C15,9.8*F12*LN((C15+Q12)/(C15+R12)),"")</f>
        <v>0</v>
      </c>
      <c r="P15" s="15">
        <f>IF(C15,SUM(K15:O15),"")</f>
        <v>11802.232861930255</v>
      </c>
      <c r="Q15" s="1"/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32</v>
      </c>
      <c r="C16" s="9">
        <v>68</v>
      </c>
      <c r="D16" s="1">
        <f>IF(C16,C16+Q8,"")</f>
        <v>4367</v>
      </c>
      <c r="E16" s="72">
        <f t="shared" si="2"/>
        <v>1.5571330432791391E-2</v>
      </c>
      <c r="F16" s="14" t="str">
        <f>IF(AND(C16&lt;&gt;"",N6&lt;&gt;""),(M8/F8*E6+M9/F9*D6)/(C16+Q8),"")</f>
        <v/>
      </c>
      <c r="G16" s="1">
        <f>IF(C16,IF(AND(F8&lt;&gt;0,C6&lt;&gt;0),M9,M9/F9*D6)/(C16+Q9),"")</f>
        <v>1.4020278136443494</v>
      </c>
      <c r="H16" s="1">
        <f>IF(C16,(M10)/(C16+Q10),"")</f>
        <v>0.75590551181102361</v>
      </c>
      <c r="I16" s="1">
        <f>IF(C16,(M11)/(C16+Q11),"")</f>
        <v>0.44155844155844154</v>
      </c>
      <c r="J16" s="1">
        <f>IF(C16,(M12)/(C16+Q12),"")</f>
        <v>0</v>
      </c>
      <c r="K16" s="14" t="str">
        <f>IF(AND(C16&lt;&gt;"",N6&lt;&gt;""),9.8*N6*LN((C16+Q8)/(C16+R8)),"")</f>
        <v/>
      </c>
      <c r="L16" s="1">
        <f>IF(C16,9.8*F9*LN((C16+Q9)/(C16+R9)),"")</f>
        <v>5351.4200209396831</v>
      </c>
      <c r="M16" s="1">
        <f>IF(C16,9.8*F10*LN((C16+Q10)/(C16+R10)),"")</f>
        <v>3216.1903117027223</v>
      </c>
      <c r="N16" s="1">
        <f>IF(C16,9.8*F11*LN((C16+Q11)/(C16+R11)),"")</f>
        <v>4148.9385131558483</v>
      </c>
      <c r="O16" s="1">
        <f>IF(C16,9.8*F12*LN((C16+Q12)/(C16+R12)),"")</f>
        <v>0</v>
      </c>
      <c r="P16" s="15">
        <f>IF(C16,SUM(K16:O16),"")</f>
        <v>12716.548845798254</v>
      </c>
      <c r="Q16" s="1"/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/>
      <c r="D17" s="1" t="str">
        <f>IF(C17,C17+Q8,"")</f>
        <v/>
      </c>
      <c r="E17" s="72" t="str">
        <f t="shared" si="2"/>
        <v/>
      </c>
      <c r="F17" s="14" t="str">
        <f>IF(AND(C17&lt;&gt;"",N6&lt;&gt;""),(M8/F8*E6+M9/F9*D6)/(C17+Q8),"")</f>
        <v/>
      </c>
      <c r="G17" s="1" t="str">
        <f>IF(C17,IF(AND(F8&lt;&gt;0,C6&lt;&gt;0),M9,M9/F9*D6)/(C17+Q9),"")</f>
        <v/>
      </c>
      <c r="H17" s="1" t="str">
        <f>IF(C17,(M10)/(C17+Q10),"")</f>
        <v/>
      </c>
      <c r="I17" s="1" t="str">
        <f>IF(C17,(M11)/(C17+Q11),"")</f>
        <v/>
      </c>
      <c r="J17" s="1" t="str">
        <f>IF(C17,(M12)/(C17+Q12),"")</f>
        <v/>
      </c>
      <c r="K17" s="14" t="str">
        <f>IF(AND(C17&lt;&gt;"",N6&lt;&gt;""),9.8*N6*LN((C17+Q8)/(C17+R8)),"")</f>
        <v/>
      </c>
      <c r="L17" s="1" t="str">
        <f>IF(C17,9.8*F9*LN((C17+Q9)/(C17+R9)),"")</f>
        <v/>
      </c>
      <c r="M17" s="1" t="str">
        <f>IF(C17,9.8*F10*LN((C17+Q10)/(C17+R10)),"")</f>
        <v/>
      </c>
      <c r="N17" s="1" t="str">
        <f>IF(C17,9.8*F11*LN((C17+Q11)/(C17+R11)),"")</f>
        <v/>
      </c>
      <c r="O17" s="1" t="str">
        <f>IF(C17,9.8*F12*LN((C17+Q12)/(C17+R12)),"")</f>
        <v/>
      </c>
      <c r="P17" s="15" t="str">
        <f>IF(C17,SUM(K17:O17),"")</f>
        <v/>
      </c>
      <c r="Q17" s="17"/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54</v>
      </c>
      <c r="D18" s="12" t="s">
        <v>28</v>
      </c>
      <c r="E18" s="12" t="s">
        <v>266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94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>
        <v>152</v>
      </c>
      <c r="D19" s="1">
        <f>IF(C19,C19+Q8,"")</f>
        <v>4451</v>
      </c>
      <c r="E19" s="72">
        <f>IF(C19,C19/D19,"")</f>
        <v>3.4149629296787241E-2</v>
      </c>
      <c r="F19" s="14" t="str">
        <f>IF(AND(C19&lt;&gt;"",N6&lt;&gt;""),(M8/F8*E6+M9/F9*D6)/(C19+U8),"")</f>
        <v/>
      </c>
      <c r="G19" s="1">
        <f>IF(C19,IF(AND(F8&lt;&gt;0,C6&lt;&gt;0),M9,M9/F9*D6)/(C19+U9),"")</f>
        <v>1.3755685154313353</v>
      </c>
      <c r="H19" s="1">
        <f>IF(C19,(M10)/(C19+U10),"")</f>
        <v>0.66759388038942979</v>
      </c>
      <c r="I19" s="1">
        <f>IF(C19,(M11)/(C19+U11),"")</f>
        <v>0.32380952380952382</v>
      </c>
      <c r="J19" s="1">
        <f>IF(C19,(M12)/(C19+U12),"")</f>
        <v>0</v>
      </c>
      <c r="K19" s="14" t="str">
        <f>IF(AND(C19&lt;&gt;"",N6&lt;&gt;""),9.8*N6*LN((C19+U8)/(C19+V8)),"")</f>
        <v/>
      </c>
      <c r="L19" s="1">
        <f>IF(C19,9.8*F9*LN((C19+U9)/(C19+V9)),"")</f>
        <v>4030.9453572210591</v>
      </c>
      <c r="M19" s="1">
        <f>IF(C19,9.8*F10*LN((C19+U10)/(C19+V10)),"")</f>
        <v>2659.7628814837599</v>
      </c>
      <c r="N19" s="1">
        <f>IF(C19,9.8*F11*LN((C19+U11)/(C19+V11)),"")</f>
        <v>2619.4109975582523</v>
      </c>
      <c r="O19" s="1">
        <f>IF(C19,9.8*F12*LN((C19+U12)/(C19+V12)),"")</f>
        <v>0</v>
      </c>
      <c r="P19" s="15">
        <f>IF(C19,SUM(K19:O19),"")</f>
        <v>9310.1192362630718</v>
      </c>
      <c r="Q19" s="1"/>
      <c r="R19" s="1"/>
      <c r="S19" s="1"/>
      <c r="T19" s="32" t="str">
        <f>IF(OR(F19&lt;1,AND(F19="",G19&lt;1)),"起飞推重比不得小于0，空天飞机除外","")</f>
        <v/>
      </c>
      <c r="U19" s="1"/>
      <c r="V19" s="1"/>
    </row>
    <row r="20" spans="1:22">
      <c r="A20" s="47"/>
      <c r="B20" s="27" t="s">
        <v>31</v>
      </c>
      <c r="C20" s="9">
        <v>61</v>
      </c>
      <c r="D20" s="1">
        <f>IF(C20,C20+Q8,"")</f>
        <v>4360</v>
      </c>
      <c r="E20" s="72">
        <f t="shared" ref="E20:E22" si="4">IF(C20,C20/D20,"")</f>
        <v>1.3990825688073395E-2</v>
      </c>
      <c r="F20" s="14" t="str">
        <f>IF(AND(C20&lt;&gt;"",N6&lt;&gt;""),(M8/F8*E6+M9/F9*D6)/(C20+U8),"")</f>
        <v/>
      </c>
      <c r="G20" s="1">
        <f>IF(C20,IF(AND(F8&lt;&gt;0,C6&lt;&gt;0),M9,M9/F9*D6)/(C20+U9),"")</f>
        <v>1.4042787757304755</v>
      </c>
      <c r="H20" s="1">
        <f>IF(C20,(M10)/(C20+U10),"")</f>
        <v>0.76433121019108285</v>
      </c>
      <c r="I20" s="1">
        <f>IF(C20,(M11)/(C20+U11),"")</f>
        <v>0.45535714285714285</v>
      </c>
      <c r="J20" s="1">
        <f>IF(C20,(M12)/(C20+U12),"")</f>
        <v>0</v>
      </c>
      <c r="K20" s="14" t="str">
        <f>IF(AND(C20&lt;&gt;"",N6&lt;&gt;""),9.8*N6*LN((C20+U8)/(C20+V8)),"")</f>
        <v/>
      </c>
      <c r="L20" s="1">
        <f>IF(C20,9.8*F9*LN((C20+U9)/(C20+V9)),"")</f>
        <v>4192.7211136921906</v>
      </c>
      <c r="M20" s="1">
        <f>IF(C20,9.8*F10*LN((C20+U10)/(C20+V10)),"")</f>
        <v>3273.9597690671585</v>
      </c>
      <c r="N20" s="1">
        <f>IF(C20,9.8*F11*LN((C20+U11)/(C20+V11)),"")</f>
        <v>4367.9555577305164</v>
      </c>
      <c r="O20" s="1">
        <f>IF(C20,9.8*F12*LN((C20+U12)/(C20+V12)),"")</f>
        <v>0</v>
      </c>
      <c r="P20" s="15">
        <f>IF(C20,SUM(K20:O20),"")</f>
        <v>11834.636440489865</v>
      </c>
      <c r="Q20" s="1"/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>
        <v>43</v>
      </c>
      <c r="D21" s="1">
        <f>IF(C21,C21+Q8,"")</f>
        <v>4342</v>
      </c>
      <c r="E21" s="72">
        <f t="shared" si="4"/>
        <v>9.9032703823122986E-3</v>
      </c>
      <c r="F21" s="14" t="str">
        <f>IF(AND(C21&lt;&gt;"",N6&lt;&gt;""),(M8/F8*E6+M9/F9*D6)/(C21+U8),"")</f>
        <v/>
      </c>
      <c r="G21" s="1">
        <f>IF(C21,IF(AND(F8&lt;&gt;0,C6&lt;&gt;0),M9,M9/F9*D6)/(C21+U9),"")</f>
        <v>1.4101002906920483</v>
      </c>
      <c r="H21" s="1">
        <f>IF(C21,(M10)/(C21+U10),"")</f>
        <v>0.78688524590163933</v>
      </c>
      <c r="I21" s="1">
        <f>IF(C21,(M11)/(C21+U11),"")</f>
        <v>0.49514563106796117</v>
      </c>
      <c r="J21" s="1">
        <f>IF(C21,(M12)/(C21+U12),"")</f>
        <v>0</v>
      </c>
      <c r="K21" s="14" t="str">
        <f>IF(AND(C21&lt;&gt;"",N6&lt;&gt;""),9.8*N6*LN((C21+U8)/(C21+V8)),"")</f>
        <v/>
      </c>
      <c r="L21" s="1">
        <f>IF(C21,9.8*F9*LN((C21+U9)/(C21+V9)),"")</f>
        <v>4226.4563764537652</v>
      </c>
      <c r="M21" s="1">
        <f>IF(C21,9.8*F10*LN((C21+U10)/(C21+V10)),"")</f>
        <v>3433.2213388204937</v>
      </c>
      <c r="N21" s="1">
        <f>IF(C21,9.8*F11*LN((C21+U11)/(C21+V11)),"")</f>
        <v>5067.180210196575</v>
      </c>
      <c r="O21" s="1">
        <f>IF(C21,9.8*F12*LN((C21+U12)/(C21+V12)),"")</f>
        <v>0</v>
      </c>
      <c r="P21" s="15">
        <f>IF(C21,SUM(K21:O21),"")</f>
        <v>12726.857925470835</v>
      </c>
      <c r="Q21" s="1"/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45</v>
      </c>
      <c r="B22" s="49" t="s">
        <v>5</v>
      </c>
      <c r="C22" s="50"/>
      <c r="D22" s="25" t="str">
        <f>IF(C22,C22+Q8,"")</f>
        <v/>
      </c>
      <c r="E22" s="73" t="str">
        <f t="shared" si="4"/>
        <v/>
      </c>
      <c r="F22" s="70" t="str">
        <f>IF(AND(C22&lt;&gt;"",N6&lt;&gt;""),(M8/F8*E6+M9/F9*D6)/(C22+U8),"")</f>
        <v/>
      </c>
      <c r="G22" s="25" t="str">
        <f>IF(C22,IF(AND(F8&lt;&gt;0,C6&lt;&gt;0),M9,M9/F9*D6)/(C22+U9),"")</f>
        <v/>
      </c>
      <c r="H22" s="25" t="str">
        <f>IF(C22,(M10)/(C22+U10),"")</f>
        <v/>
      </c>
      <c r="I22" s="25" t="str">
        <f>IF(C22,(M11)/(C22+U11),"")</f>
        <v/>
      </c>
      <c r="J22" s="25" t="str">
        <f>IF(C22,(M12)/(C22+U12),"")</f>
        <v/>
      </c>
      <c r="K22" s="70" t="str">
        <f>IF(AND(C22&lt;&gt;"",N6&lt;&gt;""),9.8*N6*LN((C22+U8)/(C22+V8)),"")</f>
        <v/>
      </c>
      <c r="L22" s="25" t="str">
        <f>IF(C22,9.8*F9*LN((C22+U9)/(C22+V9)),"")</f>
        <v/>
      </c>
      <c r="M22" s="25" t="str">
        <f>IF(C22,9.8*F10*LN((C22+U10)/(C22+V10)),"")</f>
        <v/>
      </c>
      <c r="N22" s="25" t="str">
        <f>IF(C22,9.8*F11*LN((C22+U11)/(C22+V11)),"")</f>
        <v/>
      </c>
      <c r="O22" s="25" t="str">
        <f>IF(C22,9.8*F12*LN((C22+U12)/(C22+V12)),"")</f>
        <v/>
      </c>
      <c r="P22" s="71" t="str">
        <f>IF(C22,SUM(K22:O22),"")</f>
        <v/>
      </c>
      <c r="Q22" s="25"/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77</v>
      </c>
      <c r="B24" s="52"/>
      <c r="C24" s="29" t="s">
        <v>0</v>
      </c>
      <c r="D24" s="90" t="s">
        <v>41</v>
      </c>
      <c r="E24" s="90"/>
      <c r="F24" s="43"/>
      <c r="G24" s="43"/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110</v>
      </c>
      <c r="B25" s="39"/>
      <c r="C25" s="2">
        <v>0</v>
      </c>
      <c r="D25" s="2">
        <v>319</v>
      </c>
      <c r="E25" s="2">
        <v>0</v>
      </c>
      <c r="F25" s="41"/>
      <c r="G25" s="42"/>
      <c r="H25" s="42"/>
      <c r="I25" s="24" t="s">
        <v>85</v>
      </c>
      <c r="J25" s="24"/>
      <c r="K25" s="24"/>
      <c r="L25" s="55">
        <f>IFERROR(IF(AND(F27&lt;&gt;0,C25&lt;&gt;0),M27/F27*E25+M28/F28*D25,M28/F28*D25),0)</f>
        <v>6122.6554621848736</v>
      </c>
      <c r="M25" s="53" t="s">
        <v>45</v>
      </c>
      <c r="N25" s="17" t="str">
        <f>IF(AND(F27&lt;&gt;0,C25&lt;&gt;0),(M27+M28)/(M27/F27+M28/F28),"")</f>
        <v/>
      </c>
      <c r="O25" s="56" t="s">
        <v>45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60" t="str">
        <f>HYPERLINK(":\Reference\长征九号23版.jpg","长征九号23版.jpg")</f>
        <v>长征九号23版.jpg</v>
      </c>
      <c r="J26" s="24"/>
      <c r="K26" s="24"/>
      <c r="L26" s="11" t="s">
        <v>6</v>
      </c>
      <c r="M26" s="12" t="s">
        <v>69</v>
      </c>
      <c r="N26" s="12" t="s">
        <v>13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12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/>
      <c r="D27" s="4"/>
      <c r="E27" s="4"/>
      <c r="F27" s="4"/>
      <c r="G27" s="19"/>
      <c r="H27" s="20"/>
      <c r="I27" s="60" t="str">
        <f>HYPERLINK(":\Reference\全流量补燃循环液氧甲烷发动机系统方案研究.png","全流量补燃循环液氧甲烷发动机系统方案研究.png")</f>
        <v>全流量补燃循环液氧甲烷发动机系统方案研究.png</v>
      </c>
      <c r="J27" s="24"/>
      <c r="K27" s="24"/>
      <c r="L27" s="14">
        <f>C27*C25</f>
        <v>0</v>
      </c>
      <c r="M27" s="1">
        <f>E27*C25</f>
        <v>0</v>
      </c>
      <c r="N27" s="1">
        <f>IF(D27,L27/D27,0)</f>
        <v>0</v>
      </c>
      <c r="O27" s="15">
        <f>L27-N27</f>
        <v>0</v>
      </c>
      <c r="P27" s="14">
        <f>IF(AND(F27&lt;&gt;0,C25&lt;&gt;0),O27/M27*F27/IF(G27,G27,1),0)</f>
        <v>0</v>
      </c>
      <c r="Q27" s="1">
        <f>SUM(L27:L31)</f>
        <v>4136</v>
      </c>
      <c r="R27" s="15">
        <f>N27+Q28</f>
        <v>4136</v>
      </c>
      <c r="S27" s="14">
        <f>N27+H27*O27</f>
        <v>0</v>
      </c>
      <c r="T27" s="1">
        <f>IF(AND(F27&lt;&gt;0,C25&lt;&gt;0),(1-H27)*O27/M27*F27/IF(G27,G27,1),0)</f>
        <v>0</v>
      </c>
      <c r="U27" s="1">
        <f>SUM(L27:L31)</f>
        <v>4136</v>
      </c>
      <c r="V27" s="1">
        <f>S27+U28</f>
        <v>4136</v>
      </c>
    </row>
    <row r="28" spans="1:22">
      <c r="A28" s="47"/>
      <c r="B28" s="27">
        <v>1</v>
      </c>
      <c r="C28" s="5">
        <v>3732</v>
      </c>
      <c r="D28" s="1">
        <v>12</v>
      </c>
      <c r="E28" s="1">
        <v>6852</v>
      </c>
      <c r="F28" s="1">
        <v>357</v>
      </c>
      <c r="G28" s="5">
        <v>1</v>
      </c>
      <c r="H28" s="21">
        <v>0.11</v>
      </c>
      <c r="I28" s="30" t="s">
        <v>86</v>
      </c>
      <c r="J28" s="30"/>
      <c r="K28" s="30"/>
      <c r="L28" s="14">
        <f>C28</f>
        <v>3732</v>
      </c>
      <c r="M28" s="1">
        <f>E28</f>
        <v>6852</v>
      </c>
      <c r="N28" s="1">
        <f>IF(D28,L28/D28,0)</f>
        <v>311</v>
      </c>
      <c r="O28" s="15">
        <f>L28-N28</f>
        <v>3421</v>
      </c>
      <c r="P28" s="14">
        <f t="shared" ref="P28:P31" si="6">IF(F28,O28/M28*F28/IF(G28,G28,1),0)</f>
        <v>178.23949211908931</v>
      </c>
      <c r="Q28" s="1">
        <f>IF(F28,SUM(L28:L31)-P27*M28/F28*IF(G28,G28,1),0)</f>
        <v>4136</v>
      </c>
      <c r="R28" s="15">
        <f>N28+Q29</f>
        <v>715</v>
      </c>
      <c r="S28" s="14">
        <f>N28+H28*O28</f>
        <v>687.31</v>
      </c>
      <c r="T28" s="1">
        <f>IF(F28,(1-H28)*O28/M28*F28/IF(G28,G28,1),0)</f>
        <v>158.6331479859895</v>
      </c>
      <c r="U28" s="1">
        <f>IF(F28,SUM(L28:L31)-T27*M28/F28*IF(G28,G28,1),0)</f>
        <v>4136</v>
      </c>
      <c r="V28" s="1">
        <f>S28+U29</f>
        <v>1091.31</v>
      </c>
    </row>
    <row r="29" spans="1:22">
      <c r="A29" s="47"/>
      <c r="B29" s="27">
        <v>2</v>
      </c>
      <c r="C29" s="5">
        <v>404</v>
      </c>
      <c r="D29" s="1">
        <v>12</v>
      </c>
      <c r="E29" s="1">
        <v>480</v>
      </c>
      <c r="F29" s="1">
        <v>375</v>
      </c>
      <c r="G29" s="5"/>
      <c r="H29" s="21"/>
      <c r="I29" s="30" t="s">
        <v>87</v>
      </c>
      <c r="J29" s="30"/>
      <c r="K29" s="30"/>
      <c r="L29" s="14">
        <f>C29</f>
        <v>404</v>
      </c>
      <c r="M29" s="1">
        <f>E29</f>
        <v>480</v>
      </c>
      <c r="N29" s="1">
        <f>IF(D29,L29/D29,0)</f>
        <v>33.666666666666664</v>
      </c>
      <c r="O29" s="15">
        <f>L29-N29</f>
        <v>370.33333333333331</v>
      </c>
      <c r="P29" s="14">
        <f t="shared" si="6"/>
        <v>289.32291666666663</v>
      </c>
      <c r="Q29" s="1">
        <f>SUM(L29:L31)</f>
        <v>404</v>
      </c>
      <c r="R29" s="15">
        <f>N29+Q30</f>
        <v>33.666666666666664</v>
      </c>
      <c r="S29" s="14">
        <f>N29+H29*O29</f>
        <v>33.666666666666664</v>
      </c>
      <c r="T29" s="1">
        <f t="shared" ref="T29:T31" si="7">IF(F29,(1-H29)*O29/M29*F29/IF(G29,G29,1),0)</f>
        <v>289.32291666666663</v>
      </c>
      <c r="U29" s="1">
        <f>SUM(L29:L31)</f>
        <v>404</v>
      </c>
      <c r="V29" s="1">
        <f>S29+U30</f>
        <v>33.666666666666664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/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24" t="s">
        <v>236</v>
      </c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265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264</v>
      </c>
    </row>
    <row r="33" spans="1:22">
      <c r="A33" s="47"/>
      <c r="B33" s="27" t="s">
        <v>30</v>
      </c>
      <c r="C33" s="8">
        <v>173</v>
      </c>
      <c r="D33" s="1">
        <f>IF(C33,C33+Q27,"")</f>
        <v>4309</v>
      </c>
      <c r="E33" s="72">
        <f>IF(C33,C33/D33,"")</f>
        <v>4.0148526340218149E-2</v>
      </c>
      <c r="F33" s="14" t="str">
        <f>IF(AND(C33&lt;&gt;"",N25&lt;&gt;""),(M27/F27*E25+M28/F28*D25)/(C33+Q27),"")</f>
        <v/>
      </c>
      <c r="G33" s="1">
        <f>IF(C33,IF(AND(F27&lt;&gt;0,C25&lt;&gt;0),M28,M28/F28*D25)/(C33+Q28),"")</f>
        <v>1.4208993878358955</v>
      </c>
      <c r="H33" s="1">
        <f>IF(C33,(M29)/(C33+Q29),"")</f>
        <v>0.83188908145580587</v>
      </c>
      <c r="I33" s="1">
        <f>IF(C33,(M30)/(C33+Q30),"")</f>
        <v>0</v>
      </c>
      <c r="J33" s="1">
        <f>IF(C33,(M31)/(C33+Q31),"")</f>
        <v>0</v>
      </c>
      <c r="K33" s="14" t="str">
        <f>IF(AND(C33&lt;&gt;"",N25&lt;&gt;""),9.8*N25*LN((C33+Q27)/(C33+R27)),"")</f>
        <v/>
      </c>
      <c r="L33" s="1">
        <f>IF(C33,9.8*F28*LN((C33+Q28)/(C33+R28)),"")</f>
        <v>5526.0015960303654</v>
      </c>
      <c r="M33" s="1">
        <f>IF(C33,9.8*F29*LN((C33+Q29)/(C33+R29)),"")</f>
        <v>3773.2514084787399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9299.2530045091044</v>
      </c>
      <c r="Q33" s="1"/>
      <c r="R33" s="1"/>
      <c r="S33" s="1"/>
      <c r="T33" s="32" t="str">
        <f>IF(OR(F33&lt;1,AND(F33="",G33&lt;1)),"起飞推重比不得小于0，空天飞机除外","")</f>
        <v/>
      </c>
      <c r="U33" s="1"/>
      <c r="V33" s="1"/>
    </row>
    <row r="34" spans="1:22">
      <c r="A34" s="33" t="s">
        <v>45</v>
      </c>
      <c r="B34" s="27" t="s">
        <v>31</v>
      </c>
      <c r="C34" s="9"/>
      <c r="D34" s="1" t="str">
        <f>IF(C34,C34+Q27,"")</f>
        <v/>
      </c>
      <c r="E34" s="72" t="str">
        <f t="shared" ref="E34:E36" si="8">IF(C34,C34/D34,"")</f>
        <v/>
      </c>
      <c r="F34" s="14" t="str">
        <f>IF(AND(C34&lt;&gt;"",N25&lt;&gt;""),(M27/F27*E25+M28/F28*D25)/(C34+Q27),"")</f>
        <v/>
      </c>
      <c r="G34" s="1" t="str">
        <f>IF(C34,IF(AND(F27&lt;&gt;0,C25&lt;&gt;0),M28,M28/F28*D25)/(C34+Q28),"")</f>
        <v/>
      </c>
      <c r="H34" s="1" t="str">
        <f>IF(C34,(M29)/(C34+Q29),"")</f>
        <v/>
      </c>
      <c r="I34" s="1" t="str">
        <f>IF(C34,(M30)/(C34+Q30),"")</f>
        <v/>
      </c>
      <c r="J34" s="1" t="str">
        <f>IF(C34,(M31)/(C34+Q31),"")</f>
        <v/>
      </c>
      <c r="K34" s="14" t="str">
        <f>IF(AND(C34&lt;&gt;"",N25&lt;&gt;""),9.8*N25*LN((C34+Q27)/(C34+R27)),"")</f>
        <v/>
      </c>
      <c r="L34" s="1" t="str">
        <f>IF(C34,9.8*F28*LN((C34+Q28)/(C34+R28)),"")</f>
        <v/>
      </c>
      <c r="M34" s="1" t="str">
        <f>IF(C34,9.8*F29*LN((C34+Q29)/(C34+R29)),"")</f>
        <v/>
      </c>
      <c r="N34" s="1" t="str">
        <f>IF(C34,9.8*F30*LN((C34+Q30)/(C34+R30)),"")</f>
        <v/>
      </c>
      <c r="O34" s="1" t="str">
        <f>IF(C34,9.8*F31*LN((C34+Q31)/(C34+R31)),"")</f>
        <v/>
      </c>
      <c r="P34" s="15" t="str">
        <f>IF(C34,SUM(K34:O34),"")</f>
        <v/>
      </c>
      <c r="Q34" s="1"/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32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/>
      <c r="D36" s="1" t="str">
        <f>IF(C36,C36+Q27,"")</f>
        <v/>
      </c>
      <c r="E36" s="72" t="str">
        <f t="shared" si="8"/>
        <v/>
      </c>
      <c r="F36" s="14" t="str">
        <f>IF(AND(C36&lt;&gt;"",N25&lt;&gt;""),(M27/F27*E25+M28/F28*D25)/(C36+Q27),"")</f>
        <v/>
      </c>
      <c r="G36" s="1" t="str">
        <f>IF(C36,IF(AND(F27&lt;&gt;0,C25&lt;&gt;0),M28,M28/F28*D25)/(C36+Q28),"")</f>
        <v/>
      </c>
      <c r="H36" s="1" t="str">
        <f>IF(C36,(M29)/(C36+Q29),"")</f>
        <v/>
      </c>
      <c r="I36" s="1" t="str">
        <f>IF(C36,(M30)/(C36+Q30),"")</f>
        <v/>
      </c>
      <c r="J36" s="1" t="str">
        <f>IF(C36,(M31)/(C36+Q31),"")</f>
        <v/>
      </c>
      <c r="K36" s="14" t="str">
        <f>IF(AND(C36&lt;&gt;"",N25&lt;&gt;""),9.8*N25*LN((C36+Q27)/(C36+R27)),"")</f>
        <v/>
      </c>
      <c r="L36" s="1" t="str">
        <f>IF(C36,9.8*F28*LN((C36+Q28)/(C36+R28)),"")</f>
        <v/>
      </c>
      <c r="M36" s="1" t="str">
        <f>IF(C36,9.8*F29*LN((C36+Q29)/(C36+R29)),"")</f>
        <v/>
      </c>
      <c r="N36" s="1" t="str">
        <f>IF(C36,9.8*F30*LN((C36+Q30)/(C36+R30)),"")</f>
        <v/>
      </c>
      <c r="O36" s="1" t="str">
        <f>IF(C36,9.8*F31*LN((C36+Q31)/(C36+R31)),"")</f>
        <v/>
      </c>
      <c r="P36" s="15" t="str">
        <f>IF(C36,SUM(K36:O36),"")</f>
        <v/>
      </c>
      <c r="Q36" s="17"/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54</v>
      </c>
      <c r="D37" s="12" t="s">
        <v>28</v>
      </c>
      <c r="E37" s="12" t="s">
        <v>266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>
        <v>101</v>
      </c>
      <c r="D38" s="1">
        <f>IF(C38,C38+Q27,"")</f>
        <v>4237</v>
      </c>
      <c r="E38" s="72">
        <f>IF(C38,C38/D38,"")</f>
        <v>2.3837620958225159E-2</v>
      </c>
      <c r="F38" s="14" t="str">
        <f>IF(AND(C38&lt;&gt;"",N25&lt;&gt;""),(M27/F27*E25+M28/F28*D25)/(C38+U27),"")</f>
        <v/>
      </c>
      <c r="G38" s="1">
        <f>IF(C38,IF(AND(F27&lt;&gt;0,C25&lt;&gt;0),M28,M28/F28*D25)/(C38+U28),"")</f>
        <v>1.4450449521323752</v>
      </c>
      <c r="H38" s="1">
        <f>IF(C38,(M29)/(C38+U29),"")</f>
        <v>0.95049504950495045</v>
      </c>
      <c r="I38" s="1">
        <f>IF(C38,(M30)/(C38+U30),"")</f>
        <v>0</v>
      </c>
      <c r="J38" s="1">
        <f>IF(C38,(M31)/(C38+U31),"")</f>
        <v>0</v>
      </c>
      <c r="K38" s="14" t="str">
        <f>IF(AND(C38&lt;&gt;"",N25&lt;&gt;""),9.8*N25*LN((C38+U27)/(C38+V27)),"")</f>
        <v/>
      </c>
      <c r="L38" s="1">
        <f>IF(C38,9.8*F28*LN((C38+U28)/(C38+V28)),"")</f>
        <v>4436.0948959280831</v>
      </c>
      <c r="M38" s="1">
        <f>IF(C38,9.8*F29*LN((C38+U29)/(C38+V29)),"")</f>
        <v>4857.452711935025</v>
      </c>
      <c r="N38" s="1">
        <f>IF(C38,9.8*F30*LN((C38+U30)/(C38+V30)),"")</f>
        <v>0</v>
      </c>
      <c r="O38" s="1">
        <f>IF(C38,9.8*F31*LN((C38+U31)/(C38+V31)),"")</f>
        <v>0</v>
      </c>
      <c r="P38" s="15">
        <f>IF(C38,SUM(K38:O38),"")</f>
        <v>9293.5476078631073</v>
      </c>
      <c r="Q38" s="1" t="s">
        <v>525</v>
      </c>
      <c r="R38" s="1"/>
      <c r="S38" s="1"/>
      <c r="T38" s="32" t="str">
        <f>IF(OR(F38&lt;1,AND(F38="",G38&lt;1)),"起飞推重比不得小于0，空天飞机除外","")</f>
        <v/>
      </c>
      <c r="U38" s="1"/>
      <c r="V38" s="1"/>
    </row>
    <row r="39" spans="1:22">
      <c r="A39" s="47"/>
      <c r="B39" s="27" t="s">
        <v>31</v>
      </c>
      <c r="C39" s="9"/>
      <c r="D39" s="1" t="str">
        <f>IF(C39,C39+Q27,"")</f>
        <v/>
      </c>
      <c r="E39" s="72" t="str">
        <f t="shared" ref="E39:E41" si="10">IF(C39,C39/D39,"")</f>
        <v/>
      </c>
      <c r="F39" s="14" t="str">
        <f>IF(AND(C39&lt;&gt;"",N25&lt;&gt;""),(M27/F27*E25+M28/F28*D25)/(C39+U27),"")</f>
        <v/>
      </c>
      <c r="G39" s="1" t="str">
        <f>IF(C39,IF(AND(F27&lt;&gt;0,C25&lt;&gt;0),M28,M28/F28*D25)/(C39+U28),"")</f>
        <v/>
      </c>
      <c r="H39" s="1" t="str">
        <f>IF(C39,(M29)/(C39+U29),"")</f>
        <v/>
      </c>
      <c r="I39" s="1" t="str">
        <f>IF(C39,(M30)/(C39+U30),"")</f>
        <v/>
      </c>
      <c r="J39" s="1" t="str">
        <f>IF(C39,(M31)/(C39+U31),"")</f>
        <v/>
      </c>
      <c r="K39" s="14" t="str">
        <f>IF(AND(C39&lt;&gt;"",N25&lt;&gt;""),9.8*N25*LN((C39+U27)/(C39+V27)),"")</f>
        <v/>
      </c>
      <c r="L39" s="1" t="str">
        <f>IF(C39,9.8*F28*LN((C39+U28)/(C39+V28)),"")</f>
        <v/>
      </c>
      <c r="M39" s="1" t="str">
        <f>IF(C39,9.8*F29*LN((C39+U29)/(C39+V29)),"")</f>
        <v/>
      </c>
      <c r="N39" s="1" t="str">
        <f>IF(C39,9.8*F30*LN((C39+U30)/(C39+V30)),"")</f>
        <v/>
      </c>
      <c r="O39" s="1" t="str">
        <f>IF(C39,9.8*F31*LN((C39+U31)/(C39+V31)),"")</f>
        <v/>
      </c>
      <c r="P39" s="15" t="str">
        <f>IF(C39,SUM(K39:O39),"")</f>
        <v/>
      </c>
      <c r="Q39" s="1" t="s">
        <v>526</v>
      </c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 t="s">
        <v>527</v>
      </c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45</v>
      </c>
      <c r="B41" s="49" t="s">
        <v>5</v>
      </c>
      <c r="C41" s="50"/>
      <c r="D41" s="25" t="str">
        <f>IF(C41,C41+Q27,"")</f>
        <v/>
      </c>
      <c r="E41" s="73" t="str">
        <f t="shared" si="10"/>
        <v/>
      </c>
      <c r="F41" s="70" t="str">
        <f>IF(AND(C41&lt;&gt;"",N25&lt;&gt;""),(M27/F27*E25+M28/F28*D25)/(C41+U27),"")</f>
        <v/>
      </c>
      <c r="G41" s="25" t="str">
        <f>IF(C41,IF(AND(F27&lt;&gt;0,C25&lt;&gt;0),M28,M28/F28*D25)/(C41+U28),"")</f>
        <v/>
      </c>
      <c r="H41" s="25" t="str">
        <f>IF(C41,(M29)/(C41+U29),"")</f>
        <v/>
      </c>
      <c r="I41" s="25" t="str">
        <f>IF(C41,(M30)/(C41+U30),"")</f>
        <v/>
      </c>
      <c r="J41" s="25" t="str">
        <f>IF(C41,(M31)/(C41+U31),"")</f>
        <v/>
      </c>
      <c r="K41" s="70" t="str">
        <f>IF(AND(C41&lt;&gt;"",N25&lt;&gt;""),9.8*N25*LN((C41+U27)/(C41+V27)),"")</f>
        <v/>
      </c>
      <c r="L41" s="25" t="str">
        <f>IF(C41,9.8*F28*LN((C41+U28)/(C41+V28)),"")</f>
        <v/>
      </c>
      <c r="M41" s="25" t="str">
        <f>IF(C41,9.8*F29*LN((C41+U29)/(C41+V29)),"")</f>
        <v/>
      </c>
      <c r="N41" s="25" t="str">
        <f>IF(C41,9.8*F30*LN((C41+U30)/(C41+V30)),"")</f>
        <v/>
      </c>
      <c r="O41" s="25" t="str">
        <f>IF(C41,9.8*F31*LN((C41+U31)/(C41+V31)),"")</f>
        <v/>
      </c>
      <c r="P41" s="71" t="str">
        <f>IF(C41,SUM(K41:O41),"")</f>
        <v/>
      </c>
      <c r="Q41" s="25"/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112</v>
      </c>
      <c r="B43" s="52"/>
      <c r="C43" s="29" t="s">
        <v>0</v>
      </c>
      <c r="D43" s="90" t="s">
        <v>41</v>
      </c>
      <c r="E43" s="90"/>
      <c r="F43" s="43"/>
      <c r="G43" s="43"/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113</v>
      </c>
      <c r="B44" s="39"/>
      <c r="C44" s="2">
        <v>0</v>
      </c>
      <c r="D44" s="2">
        <v>308</v>
      </c>
      <c r="E44" s="2">
        <v>0</v>
      </c>
      <c r="F44" s="41"/>
      <c r="G44" s="42"/>
      <c r="H44" s="42"/>
      <c r="I44" s="24" t="s">
        <v>91</v>
      </c>
      <c r="J44" s="24"/>
      <c r="K44" s="24"/>
      <c r="L44" s="55">
        <f>IFERROR(IF(AND(F46&lt;&gt;0,C44&lt;&gt;0),M46/F46*E44+M47/F47*D44,M47/F47*D44),0)</f>
        <v>5872.958579881657</v>
      </c>
      <c r="M44" s="53" t="s">
        <v>45</v>
      </c>
      <c r="N44" s="17" t="str">
        <f>IF(AND(F46&lt;&gt;0,C44&lt;&gt;0),(M46+M47)/(M46/F46+M47/F47),"")</f>
        <v/>
      </c>
      <c r="O44" s="56" t="s">
        <v>45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60</v>
      </c>
      <c r="D45" s="1" t="s">
        <v>61</v>
      </c>
      <c r="E45" s="1" t="s">
        <v>62</v>
      </c>
      <c r="F45" s="1" t="s">
        <v>63</v>
      </c>
      <c r="G45" s="1" t="s">
        <v>64</v>
      </c>
      <c r="H45" s="1" t="s">
        <v>65</v>
      </c>
      <c r="I45" s="60" t="str">
        <f>HYPERLINK(":\Reference\长征九号22版.jpg","长征九号22版.jpg")</f>
        <v>长征九号22版.jpg</v>
      </c>
      <c r="J45" s="24"/>
      <c r="K45" s="24"/>
      <c r="L45" s="11" t="s">
        <v>6</v>
      </c>
      <c r="M45" s="12" t="s">
        <v>69</v>
      </c>
      <c r="N45" s="12" t="s">
        <v>13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12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/>
      <c r="D46" s="4"/>
      <c r="E46" s="4"/>
      <c r="F46" s="4"/>
      <c r="G46" s="19"/>
      <c r="H46" s="20"/>
      <c r="I46" s="24"/>
      <c r="J46" s="24"/>
      <c r="K46" s="24"/>
      <c r="L46" s="14">
        <f>C46*C44</f>
        <v>0</v>
      </c>
      <c r="M46" s="1">
        <f>E46*C44</f>
        <v>0</v>
      </c>
      <c r="N46" s="1">
        <f>IF(D46,L46/D46,0)</f>
        <v>0</v>
      </c>
      <c r="O46" s="15">
        <f>L46-N46</f>
        <v>0</v>
      </c>
      <c r="P46" s="14">
        <f>IF(AND(F46&lt;&gt;0,C44&lt;&gt;0),O46/M46*F46/IF(G46,G46,1),0)</f>
        <v>0</v>
      </c>
      <c r="Q46" s="1">
        <f>SUM(L46:L50)</f>
        <v>4057</v>
      </c>
      <c r="R46" s="15">
        <f>N46+Q47</f>
        <v>4057</v>
      </c>
      <c r="S46" s="14">
        <f>N46+H46*O46</f>
        <v>0</v>
      </c>
      <c r="T46" s="1">
        <f>IF(AND(F46&lt;&gt;0,C44&lt;&gt;0),(1-H46)*O46/M46*F46/IF(G46,G46,1),0)</f>
        <v>0</v>
      </c>
      <c r="U46" s="1">
        <f>SUM(L46:L50)</f>
        <v>4057</v>
      </c>
      <c r="V46" s="1">
        <f>S46+U47</f>
        <v>4057</v>
      </c>
    </row>
    <row r="47" spans="1:22">
      <c r="A47" s="47"/>
      <c r="B47" s="27">
        <v>1</v>
      </c>
      <c r="C47" s="5">
        <v>3487</v>
      </c>
      <c r="D47" s="1">
        <v>17.5</v>
      </c>
      <c r="E47" s="1">
        <v>6445</v>
      </c>
      <c r="F47" s="1">
        <v>338</v>
      </c>
      <c r="G47" s="5">
        <v>1</v>
      </c>
      <c r="H47" s="21">
        <v>9.01E-2</v>
      </c>
      <c r="I47" s="30" t="s">
        <v>88</v>
      </c>
      <c r="J47" s="30"/>
      <c r="K47" s="30"/>
      <c r="L47" s="14">
        <f>C47</f>
        <v>3487</v>
      </c>
      <c r="M47" s="1">
        <f>E47</f>
        <v>6445</v>
      </c>
      <c r="N47" s="1">
        <f>IF(D47,L47/D47,0)</f>
        <v>199.25714285714287</v>
      </c>
      <c r="O47" s="15">
        <f>L47-N47</f>
        <v>3287.7428571428572</v>
      </c>
      <c r="P47" s="14">
        <f t="shared" ref="P47:P50" si="12">IF(F47,O47/M47*F47/IF(G47,G47,1),0)</f>
        <v>172.42158040563004</v>
      </c>
      <c r="Q47" s="1">
        <f>IF(F47,SUM(L47:L50)-P46*M47/F47*IF(G47,G47,1),0)</f>
        <v>4057</v>
      </c>
      <c r="R47" s="15">
        <f>N47+Q48</f>
        <v>769.25714285714287</v>
      </c>
      <c r="S47" s="14">
        <f>N47+H47*O47</f>
        <v>495.4827742857143</v>
      </c>
      <c r="T47" s="1">
        <f>IF(F47,(1-H47)*O47/M47*F47/IF(G47,G47,1),0)</f>
        <v>156.88639601108278</v>
      </c>
      <c r="U47" s="1">
        <f>IF(F47,SUM(L47:L50)-T46*M47/F47*IF(G47,G47,1),0)</f>
        <v>4057</v>
      </c>
      <c r="V47" s="1">
        <f>S47+U48</f>
        <v>1065.4827742857142</v>
      </c>
    </row>
    <row r="48" spans="1:22">
      <c r="A48" s="47"/>
      <c r="B48" s="27">
        <v>2</v>
      </c>
      <c r="C48" s="5">
        <v>440</v>
      </c>
      <c r="D48" s="1">
        <v>9</v>
      </c>
      <c r="E48" s="1">
        <v>488</v>
      </c>
      <c r="F48" s="1">
        <v>445</v>
      </c>
      <c r="G48" s="5"/>
      <c r="H48" s="21"/>
      <c r="I48" s="30" t="s">
        <v>89</v>
      </c>
      <c r="J48" s="30"/>
      <c r="K48" s="30"/>
      <c r="L48" s="14">
        <f>C48</f>
        <v>440</v>
      </c>
      <c r="M48" s="1">
        <f>E48</f>
        <v>488</v>
      </c>
      <c r="N48" s="1">
        <f>IF(D48,L48/D48,0)</f>
        <v>48.888888888888886</v>
      </c>
      <c r="O48" s="15">
        <f>L48-N48</f>
        <v>391.11111111111109</v>
      </c>
      <c r="P48" s="14">
        <f t="shared" si="12"/>
        <v>356.64845173041891</v>
      </c>
      <c r="Q48" s="1">
        <f>SUM(L48:L50)</f>
        <v>570</v>
      </c>
      <c r="R48" s="15">
        <f>N48+Q49</f>
        <v>178.88888888888889</v>
      </c>
      <c r="S48" s="14">
        <f>N48+H48*O48</f>
        <v>48.888888888888886</v>
      </c>
      <c r="T48" s="1">
        <f t="shared" ref="T48:T50" si="13">IF(F48,(1-H48)*O48/M48*F48/IF(G48,G48,1),0)</f>
        <v>356.64845173041891</v>
      </c>
      <c r="U48" s="1">
        <f>SUM(L48:L50)</f>
        <v>570</v>
      </c>
      <c r="V48" s="1">
        <f>S48+U49</f>
        <v>178.88888888888889</v>
      </c>
    </row>
    <row r="49" spans="1:22">
      <c r="A49" s="33" t="s">
        <v>45</v>
      </c>
      <c r="B49" s="27">
        <v>3</v>
      </c>
      <c r="C49" s="5">
        <v>130</v>
      </c>
      <c r="D49" s="1">
        <v>7</v>
      </c>
      <c r="E49" s="1">
        <v>122</v>
      </c>
      <c r="F49" s="1">
        <v>445</v>
      </c>
      <c r="G49" s="5"/>
      <c r="H49" s="21"/>
      <c r="I49" s="30" t="s">
        <v>90</v>
      </c>
      <c r="J49" s="30"/>
      <c r="K49" s="30"/>
      <c r="L49" s="14">
        <f>C49</f>
        <v>130</v>
      </c>
      <c r="M49" s="1">
        <f>E49</f>
        <v>122</v>
      </c>
      <c r="N49" s="1">
        <f>IF(D49,L49/D49,0)</f>
        <v>18.571428571428573</v>
      </c>
      <c r="O49" s="15">
        <f>L49-N49</f>
        <v>111.42857142857143</v>
      </c>
      <c r="P49" s="14">
        <f t="shared" si="12"/>
        <v>406.44028103044496</v>
      </c>
      <c r="Q49" s="1">
        <f>SUM(L49:L50)</f>
        <v>130</v>
      </c>
      <c r="R49" s="15">
        <f>N49+Q50</f>
        <v>18.571428571428573</v>
      </c>
      <c r="S49" s="14">
        <f>N49+H49*O49</f>
        <v>18.571428571428573</v>
      </c>
      <c r="T49" s="1">
        <f t="shared" si="13"/>
        <v>406.44028103044496</v>
      </c>
      <c r="U49" s="1">
        <f>SUM(L49:L50)</f>
        <v>130</v>
      </c>
      <c r="V49" s="1">
        <f>S49+U50</f>
        <v>18.571428571428573</v>
      </c>
    </row>
    <row r="50" spans="1:22" ht="15" thickBot="1">
      <c r="A50" s="40"/>
      <c r="B50" s="28">
        <v>4</v>
      </c>
      <c r="C50" s="6"/>
      <c r="D50" s="7"/>
      <c r="E50" s="7"/>
      <c r="F50" s="7"/>
      <c r="G50" s="22"/>
      <c r="H50" s="23"/>
      <c r="I50" s="24"/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2" ht="15" thickBot="1">
      <c r="A51" s="47"/>
      <c r="B51" s="26" t="s">
        <v>38</v>
      </c>
      <c r="C51" s="1" t="s">
        <v>4</v>
      </c>
      <c r="D51" s="1" t="s">
        <v>28</v>
      </c>
      <c r="E51" s="1" t="s">
        <v>265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264</v>
      </c>
    </row>
    <row r="52" spans="1:22">
      <c r="A52" s="47"/>
      <c r="B52" s="27" t="s">
        <v>30</v>
      </c>
      <c r="C52" s="8">
        <v>220</v>
      </c>
      <c r="D52" s="1">
        <f>IF(C52,C52+Q46,"")</f>
        <v>4277</v>
      </c>
      <c r="E52" s="72">
        <f>IF(C52,C52/D52,"")</f>
        <v>5.1437923778349312E-2</v>
      </c>
      <c r="F52" s="14" t="str">
        <f>IF(AND(C52&lt;&gt;"",N44&lt;&gt;""),(M46/F46*E44+M47/F47*D44)/(C52+Q46),"")</f>
        <v/>
      </c>
      <c r="G52" s="1">
        <f>IF(C52,IF(AND(F46&lt;&gt;0,C44&lt;&gt;0),M47,M47/F47*D44)/(C52+Q47),"")</f>
        <v>1.3731490717516148</v>
      </c>
      <c r="H52" s="1">
        <f>IF(C52,(M48)/(C52+Q48),"")</f>
        <v>0.61772151898734173</v>
      </c>
      <c r="I52" s="1">
        <f>IF(C52,(M49)/(C52+Q49),"")</f>
        <v>0.34857142857142859</v>
      </c>
      <c r="J52" s="1">
        <f>IF(C52,(M50)/(C52+Q50),"")</f>
        <v>0</v>
      </c>
      <c r="K52" s="14" t="str">
        <f>IF(AND(C52&lt;&gt;"",N44&lt;&gt;""),9.8*N44*LN((C52+Q46)/(C52+R46)),"")</f>
        <v/>
      </c>
      <c r="L52" s="1">
        <f>IF(C52,9.8*F47*LN((C52+Q47)/(C52+R47)),"")</f>
        <v>4849.5285195966835</v>
      </c>
      <c r="M52" s="1">
        <f>IF(C52,9.8*F48*LN((C52+Q48)/(C52+R48)),"")</f>
        <v>2980.0895301745491</v>
      </c>
      <c r="N52" s="1">
        <f>IF(C52,9.8*F49*LN((C52+Q49)/(C52+R49)),"")</f>
        <v>1671.4160402360851</v>
      </c>
      <c r="O52" s="1">
        <f>IF(C52,9.8*F50*LN((C52+Q50)/(C52+R50)),"")</f>
        <v>0</v>
      </c>
      <c r="P52" s="15">
        <f>IF(C52,SUM(K52:O52),"")</f>
        <v>9501.034090007317</v>
      </c>
      <c r="Q52" s="1"/>
      <c r="R52" s="1"/>
      <c r="S52" s="1"/>
      <c r="T52" s="32" t="str">
        <f>IF(OR(F52&lt;1,AND(F52="",G52&lt;1)),"起飞推重比不得小于0，空天飞机除外","")</f>
        <v/>
      </c>
      <c r="U52" s="1"/>
      <c r="V52" s="1"/>
    </row>
    <row r="53" spans="1:22">
      <c r="A53" s="33" t="s">
        <v>45</v>
      </c>
      <c r="B53" s="27" t="s">
        <v>31</v>
      </c>
      <c r="C53" s="9">
        <v>96</v>
      </c>
      <c r="D53" s="1">
        <f>IF(C53,C53+Q46,"")</f>
        <v>4153</v>
      </c>
      <c r="E53" s="72">
        <f t="shared" ref="E53:E55" si="14">IF(C53,C53/D53,"")</f>
        <v>2.3115819889236697E-2</v>
      </c>
      <c r="F53" s="14" t="str">
        <f>IF(AND(C53&lt;&gt;"",N44&lt;&gt;""),(M46/F46*E44+M47/F47*D44)/(C53+Q46),"")</f>
        <v/>
      </c>
      <c r="G53" s="1">
        <f>IF(C53,IF(AND(F46&lt;&gt;0,C44&lt;&gt;0),M47,M47/F47*D44)/(C53+Q47),"")</f>
        <v>1.4141484661405386</v>
      </c>
      <c r="H53" s="1">
        <f>IF(C53,(M48)/(C53+Q48),"")</f>
        <v>0.73273273273273276</v>
      </c>
      <c r="I53" s="1">
        <f>IF(C53,(M49)/(C53+Q49),"")</f>
        <v>0.53982300884955747</v>
      </c>
      <c r="J53" s="1">
        <f>IF(C53,(M50)/(C53+Q50),"")</f>
        <v>0</v>
      </c>
      <c r="K53" s="14" t="str">
        <f>IF(AND(C53&lt;&gt;"",N44&lt;&gt;""),9.8*N44*LN((C53+Q46)/(C53+R46)),"")</f>
        <v/>
      </c>
      <c r="L53" s="1">
        <f>IF(C53,9.8*F47*LN((C53+Q47)/(C53+R47)),"")</f>
        <v>5195.696507333123</v>
      </c>
      <c r="M53" s="1">
        <f>IF(C53,9.8*F48*LN((C53+Q48)/(C53+R48)),"")</f>
        <v>3859.1478725643278</v>
      </c>
      <c r="N53" s="1">
        <f>IF(C53,9.8*F49*LN((C53+Q49)/(C53+R49)),"")</f>
        <v>2962.5866529507903</v>
      </c>
      <c r="O53" s="1">
        <f>IF(C53,9.8*F50*LN((C53+Q50)/(C53+R50)),"")</f>
        <v>0</v>
      </c>
      <c r="P53" s="15">
        <f>IF(C53,SUM(K53:O53),"")</f>
        <v>12017.431032848242</v>
      </c>
      <c r="Q53" s="1"/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</row>
    <row r="54" spans="1:22">
      <c r="A54" s="40"/>
      <c r="B54" s="27" t="s">
        <v>32</v>
      </c>
      <c r="C54" s="9">
        <v>71</v>
      </c>
      <c r="D54" s="1">
        <f>IF(C54,C54+Q46,"")</f>
        <v>4128</v>
      </c>
      <c r="E54" s="72">
        <f t="shared" si="14"/>
        <v>1.7199612403100775E-2</v>
      </c>
      <c r="F54" s="14" t="str">
        <f>IF(AND(C54&lt;&gt;"",N44&lt;&gt;""),(M46/F46*E44+M47/F47*D44)/(C54+Q46),"")</f>
        <v/>
      </c>
      <c r="G54" s="1">
        <f>IF(C54,IF(AND(F46&lt;&gt;0,C44&lt;&gt;0),M47,M47/F47*D44)/(C54+Q47),"")</f>
        <v>1.4227128342736572</v>
      </c>
      <c r="H54" s="1">
        <f>IF(C54,(M48)/(C54+Q48),"")</f>
        <v>0.76131045241809669</v>
      </c>
      <c r="I54" s="1">
        <f>IF(C54,(M49)/(C54+Q49),"")</f>
        <v>0.60696517412935325</v>
      </c>
      <c r="J54" s="1">
        <f>IF(C54,(M50)/(C54+Q50),"")</f>
        <v>0</v>
      </c>
      <c r="K54" s="14" t="str">
        <f>IF(AND(C54&lt;&gt;"",N44&lt;&gt;""),9.8*N44*LN((C54+Q46)/(C54+R46)),"")</f>
        <v/>
      </c>
      <c r="L54" s="1">
        <f>IF(C54,9.8*F47*LN((C54+Q47)/(C54+R47)),"")</f>
        <v>5272.8119412917622</v>
      </c>
      <c r="M54" s="1">
        <f>IF(C54,9.8*F48*LN((C54+Q48)/(C54+R48)),"")</f>
        <v>4108.1190518997191</v>
      </c>
      <c r="N54" s="1">
        <f>IF(C54,9.8*F49*LN((C54+Q49)/(C54+R49)),"")</f>
        <v>3524.8590003756831</v>
      </c>
      <c r="O54" s="1">
        <f>IF(C54,9.8*F50*LN((C54+Q50)/(C54+R50)),"")</f>
        <v>0</v>
      </c>
      <c r="P54" s="15">
        <f>IF(C54,SUM(K54:O54),"")</f>
        <v>12905.789993567165</v>
      </c>
      <c r="Q54" s="1"/>
      <c r="R54" s="1"/>
      <c r="S54" s="1"/>
      <c r="T54" s="32" t="str">
        <f t="shared" si="15"/>
        <v/>
      </c>
      <c r="U54" s="1"/>
      <c r="V54" s="1"/>
    </row>
    <row r="55" spans="1:22" ht="15" thickBot="1">
      <c r="A55" s="47"/>
      <c r="B55" s="28" t="s">
        <v>5</v>
      </c>
      <c r="C55" s="10"/>
      <c r="D55" s="1" t="str">
        <f>IF(C55,C55+Q46,"")</f>
        <v/>
      </c>
      <c r="E55" s="72" t="str">
        <f t="shared" si="14"/>
        <v/>
      </c>
      <c r="F55" s="14" t="str">
        <f>IF(AND(C55&lt;&gt;"",N44&lt;&gt;""),(M46/F46*E44+M47/F47*D44)/(C55+Q46),"")</f>
        <v/>
      </c>
      <c r="G55" s="1" t="str">
        <f>IF(C55,IF(AND(F46&lt;&gt;0,C44&lt;&gt;0),M47,M47/F47*D44)/(C55+Q47),"")</f>
        <v/>
      </c>
      <c r="H55" s="1" t="str">
        <f>IF(C55,(M48)/(C55+Q48),"")</f>
        <v/>
      </c>
      <c r="I55" s="1" t="str">
        <f>IF(C55,(M49)/(C55+Q49),"")</f>
        <v/>
      </c>
      <c r="J55" s="1" t="str">
        <f>IF(C55,(M50)/(C55+Q50),"")</f>
        <v/>
      </c>
      <c r="K55" s="14" t="str">
        <f>IF(AND(C55&lt;&gt;"",N44&lt;&gt;""),9.8*N44*LN((C55+Q46)/(C55+R46)),"")</f>
        <v/>
      </c>
      <c r="L55" s="1" t="str">
        <f>IF(C55,9.8*F47*LN((C55+Q47)/(C55+R47)),"")</f>
        <v/>
      </c>
      <c r="M55" s="1" t="str">
        <f>IF(C55,9.8*F48*LN((C55+Q48)/(C55+R48)),"")</f>
        <v/>
      </c>
      <c r="N55" s="1" t="str">
        <f>IF(C55,9.8*F49*LN((C55+Q49)/(C55+R49)),"")</f>
        <v/>
      </c>
      <c r="O55" s="1" t="str">
        <f>IF(C55,9.8*F50*LN((C55+Q50)/(C55+R50)),"")</f>
        <v/>
      </c>
      <c r="P55" s="15" t="str">
        <f>IF(C55,SUM(K55:O55),"")</f>
        <v/>
      </c>
      <c r="Q55" s="17"/>
      <c r="R55" s="17"/>
      <c r="S55" s="17"/>
      <c r="T55" s="32" t="str">
        <f t="shared" si="15"/>
        <v/>
      </c>
      <c r="U55" s="1"/>
      <c r="V55" s="1"/>
    </row>
    <row r="56" spans="1:22" ht="15" thickBot="1">
      <c r="A56" s="33" t="s">
        <v>45</v>
      </c>
      <c r="B56" s="26" t="s">
        <v>37</v>
      </c>
      <c r="C56" s="1" t="s">
        <v>54</v>
      </c>
      <c r="D56" s="12" t="s">
        <v>28</v>
      </c>
      <c r="E56" s="12" t="s">
        <v>266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2">
      <c r="A57" s="40"/>
      <c r="B57" s="27" t="s">
        <v>30</v>
      </c>
      <c r="C57" s="8">
        <v>162</v>
      </c>
      <c r="D57" s="1">
        <f>IF(C57,C57+Q46,"")</f>
        <v>4219</v>
      </c>
      <c r="E57" s="72">
        <f>IF(C57,C57/D57,"")</f>
        <v>3.8397724579284191E-2</v>
      </c>
      <c r="F57" s="14" t="str">
        <f>IF(AND(C57&lt;&gt;"",N44&lt;&gt;""),(M46/F46*E44+M47/F47*D44)/(C57+U46),"")</f>
        <v/>
      </c>
      <c r="G57" s="1">
        <f>IF(C57,IF(AND(F46&lt;&gt;0,C44&lt;&gt;0),M47,M47/F47*D44)/(C57+U47),"")</f>
        <v>1.3920262099743201</v>
      </c>
      <c r="H57" s="1">
        <f>IF(C57,(M48)/(C57+U48),"")</f>
        <v>0.66666666666666663</v>
      </c>
      <c r="I57" s="1">
        <f>IF(C57,(M49)/(C57+U49),"")</f>
        <v>0.4178082191780822</v>
      </c>
      <c r="J57" s="1">
        <f>IF(C57,(M50)/(C57+U50),"")</f>
        <v>0</v>
      </c>
      <c r="K57" s="14" t="str">
        <f>IF(AND(C57&lt;&gt;"",N44&lt;&gt;""),9.8*N44*LN((C57+U46)/(C57+V46)),"")</f>
        <v/>
      </c>
      <c r="L57" s="1">
        <f>IF(C57,9.8*F47*LN((C57+U47)/(C57+V47)),"")</f>
        <v>4089.5969769475064</v>
      </c>
      <c r="M57" s="1">
        <f>IF(C57,9.8*F48*LN((C57+U48)/(C57+V48)),"")</f>
        <v>3332.7805535420848</v>
      </c>
      <c r="N57" s="1">
        <f>IF(C57,9.8*F49*LN((C57+U49)/(C57+V49)),"")</f>
        <v>2096.0159894258313</v>
      </c>
      <c r="O57" s="1">
        <f>IF(C57,9.8*F50*LN((C57+U50)/(C57+V50)),"")</f>
        <v>0</v>
      </c>
      <c r="P57" s="15">
        <f>IF(C57,SUM(K57:O57),"")</f>
        <v>9518.3935199154221</v>
      </c>
      <c r="Q57" s="1"/>
      <c r="R57" s="1"/>
      <c r="S57" s="1"/>
      <c r="T57" s="32" t="str">
        <f>IF(OR(F57&lt;1,AND(F57="",G57&lt;1)),"起飞推重比不得小于0，空天飞机除外","")</f>
        <v/>
      </c>
      <c r="U57" s="1"/>
      <c r="V57" s="1"/>
    </row>
    <row r="58" spans="1:22">
      <c r="A58" s="47"/>
      <c r="B58" s="27" t="s">
        <v>31</v>
      </c>
      <c r="C58" s="9">
        <v>68</v>
      </c>
      <c r="D58" s="1">
        <f>IF(C58,C58+Q46,"")</f>
        <v>4125</v>
      </c>
      <c r="E58" s="72">
        <f t="shared" ref="E58:E60" si="16">IF(C58,C58/D58,"")</f>
        <v>1.6484848484848484E-2</v>
      </c>
      <c r="F58" s="14" t="str">
        <f>IF(AND(C58&lt;&gt;"",N44&lt;&gt;""),(M46/F46*E44+M47/F47*D44)/(C58+U46),"")</f>
        <v/>
      </c>
      <c r="G58" s="1">
        <f>IF(C58,IF(AND(F46&lt;&gt;0,C44&lt;&gt;0),M47,M47/F47*D44)/(C58+U47),"")</f>
        <v>1.4237475345167654</v>
      </c>
      <c r="H58" s="1">
        <f>IF(C58,(M48)/(C58+U48),"")</f>
        <v>0.76489028213166144</v>
      </c>
      <c r="I58" s="1">
        <f>IF(C58,(M49)/(C58+U49),"")</f>
        <v>0.61616161616161613</v>
      </c>
      <c r="J58" s="1">
        <f>IF(C58,(M50)/(C58+U50),"")</f>
        <v>0</v>
      </c>
      <c r="K58" s="14" t="str">
        <f>IF(AND(C58&lt;&gt;"",N44&lt;&gt;""),9.8*N44*LN((C58+U46)/(C58+V46)),"")</f>
        <v/>
      </c>
      <c r="L58" s="1">
        <f>IF(C58,9.8*F47*LN((C58+U47)/(C58+V47)),"")</f>
        <v>4278.8623460636136</v>
      </c>
      <c r="M58" s="1">
        <f>IF(C58,9.8*F48*LN((C58+U48)/(C58+V48)),"")</f>
        <v>4140.3329223895335</v>
      </c>
      <c r="N58" s="1">
        <f>IF(C58,9.8*F49*LN((C58+U49)/(C58+V49)),"")</f>
        <v>3607.8430616408095</v>
      </c>
      <c r="O58" s="1">
        <f>IF(C58,9.8*F50*LN((C58+U50)/(C58+V50)),"")</f>
        <v>0</v>
      </c>
      <c r="P58" s="15">
        <f>IF(C58,SUM(K58:O58),"")</f>
        <v>12027.038330093956</v>
      </c>
      <c r="Q58" s="1"/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2">
      <c r="A59" s="47"/>
      <c r="B59" s="27" t="s">
        <v>32</v>
      </c>
      <c r="C59" s="9">
        <v>49</v>
      </c>
      <c r="D59" s="1">
        <f>IF(C59,C59+Q46,"")</f>
        <v>4106</v>
      </c>
      <c r="E59" s="72">
        <f t="shared" si="16"/>
        <v>1.1933755479785679E-2</v>
      </c>
      <c r="F59" s="14" t="str">
        <f>IF(AND(C59&lt;&gt;"",N44&lt;&gt;""),(M46/F46*E44+M47/F47*D44)/(C59+U46),"")</f>
        <v/>
      </c>
      <c r="G59" s="1">
        <f>IF(C59,IF(AND(F46&lt;&gt;0,C44&lt;&gt;0),M47,M47/F47*D44)/(C59+U47),"")</f>
        <v>1.4303357476574907</v>
      </c>
      <c r="H59" s="1">
        <f>IF(C59,(M48)/(C59+U48),"")</f>
        <v>0.7883683360258481</v>
      </c>
      <c r="I59" s="1">
        <f>IF(C59,(M49)/(C59+U49),"")</f>
        <v>0.68156424581005581</v>
      </c>
      <c r="J59" s="1">
        <f>IF(C59,(M50)/(C59+U50),"")</f>
        <v>0</v>
      </c>
      <c r="K59" s="14" t="str">
        <f>IF(AND(C59&lt;&gt;"",N44&lt;&gt;""),9.8*N44*LN((C59+U46)/(C59+V46)),"")</f>
        <v/>
      </c>
      <c r="L59" s="1">
        <f>IF(C59,9.8*F47*LN((C59+U47)/(C59+V47)),"")</f>
        <v>4319.5647032565339</v>
      </c>
      <c r="M59" s="1">
        <f>IF(C59,9.8*F48*LN((C59+U48)/(C59+V48)),"")</f>
        <v>4357.7165679871241</v>
      </c>
      <c r="N59" s="1">
        <f>IF(C59,9.8*F49*LN((C59+U49)/(C59+V49)),"")</f>
        <v>4248.4886700884344</v>
      </c>
      <c r="O59" s="1">
        <f>IF(C59,9.8*F50*LN((C59+U50)/(C59+V50)),"")</f>
        <v>0</v>
      </c>
      <c r="P59" s="15">
        <f>IF(C59,SUM(K59:O59),"")</f>
        <v>12925.769941332092</v>
      </c>
      <c r="Q59" s="1"/>
      <c r="R59" s="1"/>
      <c r="S59" s="1"/>
      <c r="T59" s="32" t="str">
        <f t="shared" si="17"/>
        <v/>
      </c>
      <c r="U59" s="1"/>
      <c r="V59" s="1"/>
    </row>
    <row r="60" spans="1:22" ht="15" thickBot="1">
      <c r="A60" s="48" t="s">
        <v>45</v>
      </c>
      <c r="B60" s="49" t="s">
        <v>5</v>
      </c>
      <c r="C60" s="50"/>
      <c r="D60" s="25" t="str">
        <f>IF(C60,C60+Q46,"")</f>
        <v/>
      </c>
      <c r="E60" s="73" t="str">
        <f t="shared" si="16"/>
        <v/>
      </c>
      <c r="F60" s="70" t="str">
        <f>IF(AND(C60&lt;&gt;"",N44&lt;&gt;""),(M46/F46*E44+M47/F47*D44)/(C60+U46),"")</f>
        <v/>
      </c>
      <c r="G60" s="25" t="str">
        <f>IF(C60,IF(AND(F46&lt;&gt;0,C44&lt;&gt;0),M47,M47/F47*D44)/(C60+U47),"")</f>
        <v/>
      </c>
      <c r="H60" s="25" t="str">
        <f>IF(C60,(M48)/(C60+U48),"")</f>
        <v/>
      </c>
      <c r="I60" s="25" t="str">
        <f>IF(C60,(M49)/(C60+U49),"")</f>
        <v/>
      </c>
      <c r="J60" s="25" t="str">
        <f>IF(C60,(M50)/(C60+U50),"")</f>
        <v/>
      </c>
      <c r="K60" s="70" t="str">
        <f>IF(AND(C60&lt;&gt;"",N44&lt;&gt;""),9.8*N44*LN((C60+U46)/(C60+V46)),"")</f>
        <v/>
      </c>
      <c r="L60" s="25" t="str">
        <f>IF(C60,9.8*F47*LN((C60+U47)/(C60+V47)),"")</f>
        <v/>
      </c>
      <c r="M60" s="25" t="str">
        <f>IF(C60,9.8*F48*LN((C60+U48)/(C60+V48)),"")</f>
        <v/>
      </c>
      <c r="N60" s="25" t="str">
        <f>IF(C60,9.8*F49*LN((C60+U49)/(C60+V49)),"")</f>
        <v/>
      </c>
      <c r="O60" s="25" t="str">
        <f>IF(C60,9.8*F50*LN((C60+U50)/(C60+V50)),"")</f>
        <v/>
      </c>
      <c r="P60" s="71" t="str">
        <f>IF(C60,SUM(K60:O60),"")</f>
        <v/>
      </c>
      <c r="Q60" s="25"/>
      <c r="R60" s="25"/>
      <c r="S60" s="25"/>
      <c r="T60" s="51" t="str">
        <f t="shared" si="17"/>
        <v/>
      </c>
      <c r="U60" s="25"/>
      <c r="V60" s="25"/>
    </row>
    <row r="61" spans="1:22" ht="15" thickBot="1"/>
    <row r="62" spans="1:22" ht="15" thickBot="1">
      <c r="A62" s="52" t="s">
        <v>114</v>
      </c>
      <c r="B62" s="52"/>
      <c r="C62" s="29" t="s">
        <v>0</v>
      </c>
      <c r="D62" s="90" t="s">
        <v>41</v>
      </c>
      <c r="E62" s="90"/>
      <c r="F62" s="43"/>
      <c r="G62" s="43"/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2" ht="15" thickBot="1">
      <c r="A63" s="40" t="s">
        <v>115</v>
      </c>
      <c r="B63" s="39"/>
      <c r="C63" s="2">
        <v>0</v>
      </c>
      <c r="D63" s="2">
        <v>308</v>
      </c>
      <c r="E63" s="2">
        <v>0</v>
      </c>
      <c r="F63" s="41"/>
      <c r="G63" s="42"/>
      <c r="H63" s="42"/>
      <c r="I63" s="24" t="s">
        <v>92</v>
      </c>
      <c r="J63" s="24"/>
      <c r="K63" s="24"/>
      <c r="L63" s="55">
        <f>IFERROR(IF(AND(F65&lt;&gt;0,C63&lt;&gt;0),M65/F65*E63+M66/F66*D63,M66/F66*D63),0)</f>
        <v>5872.958579881657</v>
      </c>
      <c r="M63" s="53" t="s">
        <v>45</v>
      </c>
      <c r="N63" s="17" t="str">
        <f>IF(AND(F65&lt;&gt;0,C63&lt;&gt;0),(M65+M66)/(M65/F65+M66/F66),"")</f>
        <v/>
      </c>
      <c r="O63" s="56" t="s">
        <v>45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2" ht="15" thickBot="1">
      <c r="A64" s="33" t="s">
        <v>45</v>
      </c>
      <c r="B64" s="26" t="s">
        <v>39</v>
      </c>
      <c r="C64" s="1" t="s">
        <v>60</v>
      </c>
      <c r="D64" s="1" t="s">
        <v>61</v>
      </c>
      <c r="E64" s="1" t="s">
        <v>62</v>
      </c>
      <c r="F64" s="1" t="s">
        <v>63</v>
      </c>
      <c r="G64" s="1" t="s">
        <v>64</v>
      </c>
      <c r="H64" s="1" t="s">
        <v>65</v>
      </c>
      <c r="I64" s="60" t="str">
        <f>HYPERLINK(":\Reference\长征九号22版.jpg","长征九号22版.jpg")</f>
        <v>长征九号22版.jpg</v>
      </c>
      <c r="J64" s="24"/>
      <c r="K64" s="24"/>
      <c r="L64" s="11" t="s">
        <v>6</v>
      </c>
      <c r="M64" s="12" t="s">
        <v>69</v>
      </c>
      <c r="N64" s="12" t="s">
        <v>13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12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/>
      <c r="D65" s="4"/>
      <c r="E65" s="4"/>
      <c r="F65" s="4"/>
      <c r="G65" s="19"/>
      <c r="H65" s="20"/>
      <c r="I65" s="24"/>
      <c r="J65" s="24"/>
      <c r="K65" s="24"/>
      <c r="L65" s="14">
        <f>C65*C63</f>
        <v>0</v>
      </c>
      <c r="M65" s="1">
        <f>E65*C63</f>
        <v>0</v>
      </c>
      <c r="N65" s="1">
        <f>IF(D65,L65/D65,0)</f>
        <v>0</v>
      </c>
      <c r="O65" s="15">
        <f>L65-N65</f>
        <v>0</v>
      </c>
      <c r="P65" s="14">
        <f>IF(AND(F65&lt;&gt;0,C63&lt;&gt;0),O65/M65*F65/IF(G65,G65,1),0)</f>
        <v>0</v>
      </c>
      <c r="Q65" s="1">
        <f>SUM(L65:L69)</f>
        <v>3927</v>
      </c>
      <c r="R65" s="15">
        <f>N65+Q66</f>
        <v>3927</v>
      </c>
      <c r="S65" s="14">
        <f>N65+H65*O65</f>
        <v>0</v>
      </c>
      <c r="T65" s="1">
        <f>IF(AND(F65&lt;&gt;0,C63&lt;&gt;0),(1-H65)*O65/M65*F65/IF(G65,G65,1),0)</f>
        <v>0</v>
      </c>
      <c r="U65" s="1">
        <f>SUM(L65:L69)</f>
        <v>3927</v>
      </c>
      <c r="V65" s="1">
        <f>S65+U66</f>
        <v>3927</v>
      </c>
    </row>
    <row r="66" spans="1:22">
      <c r="A66" s="47"/>
      <c r="B66" s="27">
        <v>1</v>
      </c>
      <c r="C66" s="5">
        <v>3487</v>
      </c>
      <c r="D66" s="1">
        <v>17.5</v>
      </c>
      <c r="E66" s="1">
        <v>6445</v>
      </c>
      <c r="F66" s="1">
        <v>338</v>
      </c>
      <c r="G66" s="5">
        <v>1</v>
      </c>
      <c r="H66" s="21">
        <v>9.01E-2</v>
      </c>
      <c r="I66" s="30" t="s">
        <v>93</v>
      </c>
      <c r="J66" s="30"/>
      <c r="K66" s="30"/>
      <c r="L66" s="14">
        <f>C66</f>
        <v>3487</v>
      </c>
      <c r="M66" s="1">
        <f>E66</f>
        <v>6445</v>
      </c>
      <c r="N66" s="1">
        <f>IF(D66,L66/D66,0)</f>
        <v>199.25714285714287</v>
      </c>
      <c r="O66" s="15">
        <f>L66-N66</f>
        <v>3287.7428571428572</v>
      </c>
      <c r="P66" s="14">
        <f t="shared" ref="P66:P69" si="18">IF(F66,O66/M66*F66/IF(G66,G66,1),0)</f>
        <v>172.42158040563004</v>
      </c>
      <c r="Q66" s="1">
        <f>IF(F66,SUM(L66:L69)-P65*M66/F66*IF(G66,G66,1),0)</f>
        <v>3927</v>
      </c>
      <c r="R66" s="15">
        <f>N66+Q67</f>
        <v>639.25714285714287</v>
      </c>
      <c r="S66" s="14">
        <f>N66+H66*O66</f>
        <v>495.4827742857143</v>
      </c>
      <c r="T66" s="1">
        <f>IF(F66,(1-H66)*O66/M66*F66/IF(G66,G66,1),0)</f>
        <v>156.88639601108278</v>
      </c>
      <c r="U66" s="1">
        <f>IF(F66,SUM(L66:L69)-T65*M66/F66*IF(G66,G66,1),0)</f>
        <v>3927</v>
      </c>
      <c r="V66" s="1">
        <f>S66+U67</f>
        <v>935.4827742857143</v>
      </c>
    </row>
    <row r="67" spans="1:22">
      <c r="A67" s="47"/>
      <c r="B67" s="27">
        <v>2</v>
      </c>
      <c r="C67" s="5">
        <v>440</v>
      </c>
      <c r="D67" s="1">
        <v>9</v>
      </c>
      <c r="E67" s="1">
        <v>488</v>
      </c>
      <c r="F67" s="1">
        <v>445</v>
      </c>
      <c r="G67" s="5"/>
      <c r="H67" s="21"/>
      <c r="I67" s="30" t="s">
        <v>94</v>
      </c>
      <c r="J67" s="30"/>
      <c r="K67" s="30"/>
      <c r="L67" s="14">
        <f>C67</f>
        <v>440</v>
      </c>
      <c r="M67" s="1">
        <f>E67</f>
        <v>488</v>
      </c>
      <c r="N67" s="1">
        <f>IF(D67,L67/D67,0)</f>
        <v>48.888888888888886</v>
      </c>
      <c r="O67" s="15">
        <f>L67-N67</f>
        <v>391.11111111111109</v>
      </c>
      <c r="P67" s="14">
        <f t="shared" si="18"/>
        <v>356.64845173041891</v>
      </c>
      <c r="Q67" s="1">
        <f>SUM(L67:L69)</f>
        <v>440</v>
      </c>
      <c r="R67" s="15">
        <f>N67+Q68</f>
        <v>48.888888888888886</v>
      </c>
      <c r="S67" s="14">
        <f>N67+H67*O67</f>
        <v>48.888888888888886</v>
      </c>
      <c r="T67" s="1">
        <f t="shared" ref="T67:T69" si="19">IF(F67,(1-H67)*O67/M67*F67/IF(G67,G67,1),0)</f>
        <v>356.64845173041891</v>
      </c>
      <c r="U67" s="1">
        <f>SUM(L67:L69)</f>
        <v>440</v>
      </c>
      <c r="V67" s="1">
        <f>S67+U68</f>
        <v>48.888888888888886</v>
      </c>
    </row>
    <row r="68" spans="1:22">
      <c r="A68" s="33" t="s">
        <v>45</v>
      </c>
      <c r="B68" s="27">
        <v>3</v>
      </c>
      <c r="C68" s="5"/>
      <c r="D68" s="1"/>
      <c r="E68" s="1"/>
      <c r="F68" s="1"/>
      <c r="G68" s="5"/>
      <c r="H68" s="21"/>
      <c r="I68" s="30"/>
      <c r="J68" s="30"/>
      <c r="K68" s="30"/>
      <c r="L68" s="14">
        <f>C68</f>
        <v>0</v>
      </c>
      <c r="M68" s="1">
        <f>E68</f>
        <v>0</v>
      </c>
      <c r="N68" s="1">
        <f>IF(D68,L68/D68,0)</f>
        <v>0</v>
      </c>
      <c r="O68" s="15">
        <f>L68-N68</f>
        <v>0</v>
      </c>
      <c r="P68" s="14">
        <f t="shared" si="18"/>
        <v>0</v>
      </c>
      <c r="Q68" s="1">
        <f>SUM(L68:L69)</f>
        <v>0</v>
      </c>
      <c r="R68" s="15">
        <f>N68+Q69</f>
        <v>0</v>
      </c>
      <c r="S68" s="14">
        <f>N68+H68*O68</f>
        <v>0</v>
      </c>
      <c r="T68" s="1">
        <f t="shared" si="19"/>
        <v>0</v>
      </c>
      <c r="U68" s="1">
        <f>SUM(L68:L69)</f>
        <v>0</v>
      </c>
      <c r="V68" s="1">
        <f>S68+U69</f>
        <v>0</v>
      </c>
    </row>
    <row r="69" spans="1:22" ht="15" thickBot="1">
      <c r="A69" s="40"/>
      <c r="B69" s="28">
        <v>4</v>
      </c>
      <c r="C69" s="6"/>
      <c r="D69" s="7"/>
      <c r="E69" s="7"/>
      <c r="F69" s="7"/>
      <c r="G69" s="22"/>
      <c r="H69" s="23"/>
      <c r="I69" s="24"/>
      <c r="J69" s="24"/>
      <c r="K69" s="24"/>
      <c r="L69" s="16">
        <f>C69</f>
        <v>0</v>
      </c>
      <c r="M69" s="17">
        <f>E69</f>
        <v>0</v>
      </c>
      <c r="N69" s="17">
        <f>IF(D69,L69/D69,0)</f>
        <v>0</v>
      </c>
      <c r="O69" s="18">
        <f>L69-N69</f>
        <v>0</v>
      </c>
      <c r="P69" s="14">
        <f t="shared" si="18"/>
        <v>0</v>
      </c>
      <c r="Q69" s="17">
        <f>SUM(L69:L69)</f>
        <v>0</v>
      </c>
      <c r="R69" s="18">
        <f>N69</f>
        <v>0</v>
      </c>
      <c r="S69" s="16">
        <f>N69+H69*O69</f>
        <v>0</v>
      </c>
      <c r="T69" s="17">
        <f t="shared" si="19"/>
        <v>0</v>
      </c>
      <c r="U69" s="17">
        <f>SUM(L69:L69)</f>
        <v>0</v>
      </c>
      <c r="V69" s="17">
        <f>S69</f>
        <v>0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265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264</v>
      </c>
    </row>
    <row r="71" spans="1:22">
      <c r="A71" s="47"/>
      <c r="B71" s="27" t="s">
        <v>30</v>
      </c>
      <c r="C71" s="8">
        <v>192</v>
      </c>
      <c r="D71" s="1">
        <f>IF(C71,C71+Q65,"")</f>
        <v>4119</v>
      </c>
      <c r="E71" s="72">
        <f>IF(C71,C71/D71,"")</f>
        <v>4.6613255644573928E-2</v>
      </c>
      <c r="F71" s="14" t="str">
        <f>IF(AND(C71&lt;&gt;"",N63&lt;&gt;""),(M65/F65*E63+M66/F66*D63)/(C71+Q65),"")</f>
        <v/>
      </c>
      <c r="G71" s="1">
        <f>IF(C71,IF(AND(F65&lt;&gt;0,C63&lt;&gt;0),M66,M66/F66*D63)/(C71+Q66),"")</f>
        <v>1.4258214566355079</v>
      </c>
      <c r="H71" s="1">
        <f>IF(C71,(M67)/(C71+Q67),"")</f>
        <v>0.77215189873417722</v>
      </c>
      <c r="I71" s="1">
        <f>IF(C71,(M68)/(C71+Q68),"")</f>
        <v>0</v>
      </c>
      <c r="J71" s="1">
        <f>IF(C71,(M69)/(C71+Q69),"")</f>
        <v>0</v>
      </c>
      <c r="K71" s="14" t="str">
        <f>IF(AND(C71&lt;&gt;"",N63&lt;&gt;""),9.8*N63*LN((C71+Q65)/(C71+R65)),"")</f>
        <v/>
      </c>
      <c r="L71" s="1">
        <f>IF(C71,9.8*F66*LN((C71+Q66)/(C71+R66)),"")</f>
        <v>5301.2527703728292</v>
      </c>
      <c r="M71" s="1">
        <f>IF(C71,9.8*F67*LN((C71+Q67)/(C71+R67)),"")</f>
        <v>4206.4182885155578</v>
      </c>
      <c r="N71" s="1">
        <f>IF(C71,9.8*F68*LN((C71+Q68)/(C71+R68)),"")</f>
        <v>0</v>
      </c>
      <c r="O71" s="1">
        <f>IF(C71,9.8*F69*LN((C71+Q69)/(C71+R69)),"")</f>
        <v>0</v>
      </c>
      <c r="P71" s="15">
        <f>IF(C71,SUM(K71:O71),"")</f>
        <v>9507.6710588883871</v>
      </c>
      <c r="Q71" s="1"/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45</v>
      </c>
      <c r="B72" s="27" t="s">
        <v>31</v>
      </c>
      <c r="C72" s="9"/>
      <c r="D72" s="1" t="str">
        <f>IF(C72,C72+Q65,"")</f>
        <v/>
      </c>
      <c r="E72" s="72" t="str">
        <f t="shared" ref="E72:E74" si="20">IF(C72,C72/D72,"")</f>
        <v/>
      </c>
      <c r="F72" s="14" t="str">
        <f>IF(AND(C72&lt;&gt;"",N63&lt;&gt;""),(M65/F65*E63+M66/F66*D63)/(C72+Q65),"")</f>
        <v/>
      </c>
      <c r="G72" s="1" t="str">
        <f>IF(C72,IF(AND(F65&lt;&gt;0,C63&lt;&gt;0),M66,M66/F66*D63)/(C72+Q66),"")</f>
        <v/>
      </c>
      <c r="H72" s="1" t="str">
        <f>IF(C72,(M67)/(C72+Q67),"")</f>
        <v/>
      </c>
      <c r="I72" s="1" t="str">
        <f>IF(C72,(M68)/(C72+Q68),"")</f>
        <v/>
      </c>
      <c r="J72" s="1" t="str">
        <f>IF(C72,(M69)/(C72+Q69),"")</f>
        <v/>
      </c>
      <c r="K72" s="14" t="str">
        <f>IF(AND(C72&lt;&gt;"",N63&lt;&gt;""),9.8*N63*LN((C72+Q65)/(C72+R65)),"")</f>
        <v/>
      </c>
      <c r="L72" s="1" t="str">
        <f>IF(C72,9.8*F66*LN((C72+Q66)/(C72+R66)),"")</f>
        <v/>
      </c>
      <c r="M72" s="1" t="str">
        <f>IF(C72,9.8*F67*LN((C72+Q67)/(C72+R67)),"")</f>
        <v/>
      </c>
      <c r="N72" s="1" t="str">
        <f>IF(C72,9.8*F68*LN((C72+Q68)/(C72+R68)),"")</f>
        <v/>
      </c>
      <c r="O72" s="1" t="str">
        <f>IF(C72,9.8*F69*LN((C72+Q69)/(C72+R69)),"")</f>
        <v/>
      </c>
      <c r="P72" s="15" t="str">
        <f>IF(C72,SUM(K72:O72),"")</f>
        <v/>
      </c>
      <c r="Q72" s="1"/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32</v>
      </c>
      <c r="C73" s="9"/>
      <c r="D73" s="1" t="str">
        <f>IF(C73,C73+Q65,"")</f>
        <v/>
      </c>
      <c r="E73" s="72" t="str">
        <f t="shared" si="20"/>
        <v/>
      </c>
      <c r="F73" s="14" t="str">
        <f>IF(AND(C73&lt;&gt;"",N63&lt;&gt;""),(M65/F65*E63+M66/F66*D63)/(C73+Q65),"")</f>
        <v/>
      </c>
      <c r="G73" s="1" t="str">
        <f>IF(C73,IF(AND(F65&lt;&gt;0,C63&lt;&gt;0),M66,M66/F66*D63)/(C73+Q66),"")</f>
        <v/>
      </c>
      <c r="H73" s="1" t="str">
        <f>IF(C73,(M67)/(C73+Q67),"")</f>
        <v/>
      </c>
      <c r="I73" s="1" t="str">
        <f>IF(C73,(M68)/(C73+Q68),"")</f>
        <v/>
      </c>
      <c r="J73" s="1" t="str">
        <f>IF(C73,(M69)/(C73+Q69),"")</f>
        <v/>
      </c>
      <c r="K73" s="14" t="str">
        <f>IF(AND(C73&lt;&gt;"",N63&lt;&gt;""),9.8*N63*LN((C73+Q65)/(C73+R65)),"")</f>
        <v/>
      </c>
      <c r="L73" s="1" t="str">
        <f>IF(C73,9.8*F66*LN((C73+Q66)/(C73+R66)),"")</f>
        <v/>
      </c>
      <c r="M73" s="1" t="str">
        <f>IF(C73,9.8*F67*LN((C73+Q67)/(C73+R67)),"")</f>
        <v/>
      </c>
      <c r="N73" s="1" t="str">
        <f>IF(C73,9.8*F68*LN((C73+Q68)/(C73+R68)),"")</f>
        <v/>
      </c>
      <c r="O73" s="1" t="str">
        <f>IF(C73,9.8*F69*LN((C73+Q69)/(C73+R69)),"")</f>
        <v/>
      </c>
      <c r="P73" s="15" t="str">
        <f>IF(C73,SUM(K73:O73),"")</f>
        <v/>
      </c>
      <c r="Q73" s="1"/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/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54</v>
      </c>
      <c r="D75" s="12" t="s">
        <v>28</v>
      </c>
      <c r="E75" s="12" t="s">
        <v>266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>
        <v>129</v>
      </c>
      <c r="D76" s="1">
        <f>IF(C76,C76+Q65,"")</f>
        <v>4056</v>
      </c>
      <c r="E76" s="72">
        <f>IF(C76,C76/D76,"")</f>
        <v>3.1804733727810654E-2</v>
      </c>
      <c r="F76" s="14" t="str">
        <f>IF(AND(C76&lt;&gt;"",N63&lt;&gt;""),(M65/F65*E63+M66/F66*D63)/(C76+U65),"")</f>
        <v/>
      </c>
      <c r="G76" s="1">
        <f>IF(C76,IF(AND(F65&lt;&gt;0,C63&lt;&gt;0),M66,M66/F66*D63)/(C76+U66),"")</f>
        <v>1.447968091686799</v>
      </c>
      <c r="H76" s="1">
        <f>IF(C76,(M67)/(C76+U67),"")</f>
        <v>0.85764499121265381</v>
      </c>
      <c r="I76" s="1">
        <f>IF(C76,(M68)/(C76+U68),"")</f>
        <v>0</v>
      </c>
      <c r="J76" s="1">
        <f>IF(C76,(M69)/(C76+U69),"")</f>
        <v>0</v>
      </c>
      <c r="K76" s="14" t="str">
        <f>IF(AND(C76&lt;&gt;"",N63&lt;&gt;""),9.8*N63*LN((C76+U65)/(C76+V65)),"")</f>
        <v/>
      </c>
      <c r="L76" s="1">
        <f>IF(C76,9.8*F66*LN((C76+U66)/(C76+V66)),"")</f>
        <v>4431.0247842629133</v>
      </c>
      <c r="M76" s="1">
        <f>IF(C76,9.8*F67*LN((C76+U67)/(C76+V67)),"")</f>
        <v>5070.6275826095098</v>
      </c>
      <c r="N76" s="1">
        <f>IF(C76,9.8*F68*LN((C76+U68)/(C76+V68)),"")</f>
        <v>0</v>
      </c>
      <c r="O76" s="1">
        <f>IF(C76,9.8*F69*LN((C76+U69)/(C76+V69)),"")</f>
        <v>0</v>
      </c>
      <c r="P76" s="15">
        <f>IF(C76,SUM(K76:O76),"")</f>
        <v>9501.6523668724221</v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/>
      <c r="D77" s="1" t="str">
        <f>IF(C77,C77+Q65,"")</f>
        <v/>
      </c>
      <c r="E77" s="72" t="str">
        <f t="shared" ref="E77:E79" si="22">IF(C77,C77/D77,"")</f>
        <v/>
      </c>
      <c r="F77" s="14" t="str">
        <f>IF(AND(C77&lt;&gt;"",N63&lt;&gt;""),(M65/F65*E63+M66/F66*D63)/(C77+U65),"")</f>
        <v/>
      </c>
      <c r="G77" s="1" t="str">
        <f>IF(C77,IF(AND(F65&lt;&gt;0,C63&lt;&gt;0),M66,M66/F66*D63)/(C77+U66),"")</f>
        <v/>
      </c>
      <c r="H77" s="1" t="str">
        <f>IF(C77,(M67)/(C77+U67),"")</f>
        <v/>
      </c>
      <c r="I77" s="1" t="str">
        <f>IF(C77,(M68)/(C77+U68),"")</f>
        <v/>
      </c>
      <c r="J77" s="1" t="str">
        <f>IF(C77,(M69)/(C77+U69),"")</f>
        <v/>
      </c>
      <c r="K77" s="14" t="str">
        <f>IF(AND(C77&lt;&gt;"",N63&lt;&gt;""),9.8*N63*LN((C77+U65)/(C77+V65)),"")</f>
        <v/>
      </c>
      <c r="L77" s="1" t="str">
        <f>IF(C77,9.8*F66*LN((C77+U66)/(C77+V66)),"")</f>
        <v/>
      </c>
      <c r="M77" s="1" t="str">
        <f>IF(C77,9.8*F67*LN((C77+U67)/(C77+V67)),"")</f>
        <v/>
      </c>
      <c r="N77" s="1" t="str">
        <f>IF(C77,9.8*F68*LN((C77+U68)/(C77+V68)),"")</f>
        <v/>
      </c>
      <c r="O77" s="1" t="str">
        <f>IF(C77,9.8*F69*LN((C77+U69)/(C77+V69)),"")</f>
        <v/>
      </c>
      <c r="P77" s="15" t="str">
        <f>IF(C77,SUM(K77:O77),"")</f>
        <v/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/>
      <c r="D78" s="1" t="str">
        <f>IF(C78,C78+Q65,"")</f>
        <v/>
      </c>
      <c r="E78" s="72" t="str">
        <f t="shared" si="22"/>
        <v/>
      </c>
      <c r="F78" s="14" t="str">
        <f>IF(AND(C78&lt;&gt;"",N63&lt;&gt;""),(M65/F65*E63+M66/F66*D63)/(C78+U65),"")</f>
        <v/>
      </c>
      <c r="G78" s="1" t="str">
        <f>IF(C78,IF(AND(F65&lt;&gt;0,C63&lt;&gt;0),M66,M66/F66*D63)/(C78+U66),"")</f>
        <v/>
      </c>
      <c r="H78" s="1" t="str">
        <f>IF(C78,(M67)/(C78+U67),"")</f>
        <v/>
      </c>
      <c r="I78" s="1" t="str">
        <f>IF(C78,(M68)/(C78+U68),"")</f>
        <v/>
      </c>
      <c r="J78" s="1" t="str">
        <f>IF(C78,(M69)/(C78+U69),"")</f>
        <v/>
      </c>
      <c r="K78" s="14" t="str">
        <f>IF(AND(C78&lt;&gt;"",N63&lt;&gt;""),9.8*N63*LN((C78+U65)/(C78+V65)),"")</f>
        <v/>
      </c>
      <c r="L78" s="1" t="str">
        <f>IF(C78,9.8*F66*LN((C78+U66)/(C78+V66)),"")</f>
        <v/>
      </c>
      <c r="M78" s="1" t="str">
        <f>IF(C78,9.8*F67*LN((C78+U67)/(C78+V67)),"")</f>
        <v/>
      </c>
      <c r="N78" s="1" t="str">
        <f>IF(C78,9.8*F68*LN((C78+U68)/(C78+V68)),"")</f>
        <v/>
      </c>
      <c r="O78" s="1" t="str">
        <f>IF(C78,9.8*F69*LN((C78+U69)/(C78+V69)),"")</f>
        <v/>
      </c>
      <c r="P78" s="15" t="str">
        <f>IF(C78,SUM(K78:O78),"")</f>
        <v/>
      </c>
      <c r="Q78" s="1"/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45</v>
      </c>
      <c r="B79" s="49" t="s">
        <v>5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78</v>
      </c>
      <c r="B81" s="52"/>
      <c r="C81" s="29" t="s">
        <v>0</v>
      </c>
      <c r="D81" s="90" t="s">
        <v>41</v>
      </c>
      <c r="E81" s="90"/>
      <c r="F81" s="43"/>
      <c r="G81" s="43"/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106</v>
      </c>
      <c r="B82" s="39"/>
      <c r="C82" s="2">
        <v>4</v>
      </c>
      <c r="D82" s="2">
        <v>306</v>
      </c>
      <c r="E82" s="2">
        <v>306</v>
      </c>
      <c r="F82" s="41"/>
      <c r="G82" s="42"/>
      <c r="H82" s="42"/>
      <c r="I82" s="24" t="s">
        <v>55</v>
      </c>
      <c r="J82" s="24"/>
      <c r="K82" s="24"/>
      <c r="L82" s="55">
        <f>IFERROR(IF(AND(F84&lt;&gt;0,C82&lt;&gt;0),M84/F84*E82+M85/F85*D82,M85/F85*D82),0)</f>
        <v>5871.4771513353116</v>
      </c>
      <c r="M82" s="53" t="s">
        <v>45</v>
      </c>
      <c r="N82" s="17">
        <f>IF(AND(F84&lt;&gt;0,C82&lt;&gt;0),(M84+M85)/(M84/F84+M85/F85),"")</f>
        <v>337</v>
      </c>
      <c r="O82" s="56" t="s">
        <v>45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60</v>
      </c>
      <c r="D83" s="1" t="s">
        <v>61</v>
      </c>
      <c r="E83" s="1" t="s">
        <v>62</v>
      </c>
      <c r="F83" s="1" t="s">
        <v>63</v>
      </c>
      <c r="G83" s="1" t="s">
        <v>64</v>
      </c>
      <c r="H83" s="1" t="s">
        <v>65</v>
      </c>
      <c r="I83" s="60" t="str">
        <f>HYPERLINK(":\Reference\长征九号16、21版.jpg","长征九号16、21版.jpg")</f>
        <v>长征九号16、21版.jpg</v>
      </c>
      <c r="J83" s="24"/>
      <c r="K83" s="24"/>
      <c r="L83" s="11" t="s">
        <v>6</v>
      </c>
      <c r="M83" s="12" t="s">
        <v>69</v>
      </c>
      <c r="N83" s="12" t="s">
        <v>13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12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>
        <v>535</v>
      </c>
      <c r="D84" s="4">
        <v>14.08</v>
      </c>
      <c r="E84" s="4">
        <v>1077.7</v>
      </c>
      <c r="F84" s="4">
        <v>337</v>
      </c>
      <c r="G84" s="19"/>
      <c r="H84" s="20"/>
      <c r="I84" s="24" t="s">
        <v>56</v>
      </c>
      <c r="J84" s="24"/>
      <c r="K84" s="24"/>
      <c r="L84" s="14">
        <f>C84*C82</f>
        <v>2140</v>
      </c>
      <c r="M84" s="1">
        <f>E84*C82</f>
        <v>4310.8</v>
      </c>
      <c r="N84" s="1">
        <f>IF(D84,L84/D84,0)</f>
        <v>151.98863636363637</v>
      </c>
      <c r="O84" s="15">
        <f>L84-N84</f>
        <v>1988.0113636363635</v>
      </c>
      <c r="P84" s="14">
        <f>IF(AND(F84&lt;&gt;0,C82&lt;&gt;0),O84/M84*F84/IF(G84,G84,1),0)</f>
        <v>155.41426870776991</v>
      </c>
      <c r="Q84" s="1">
        <f>SUM(L84:L88)</f>
        <v>3997</v>
      </c>
      <c r="R84" s="15">
        <f>N84+Q85</f>
        <v>1014.9368375517728</v>
      </c>
      <c r="S84" s="14">
        <f>N84+H84*O84</f>
        <v>151.98863636363637</v>
      </c>
      <c r="T84" s="1">
        <f>IF(AND(F84&lt;&gt;0,C82&lt;&gt;0),(1-H84)*O84/M84*F84/IF(G84,G84,1),0)</f>
        <v>155.41426870776991</v>
      </c>
      <c r="U84" s="1">
        <f>SUM(L84:L88)</f>
        <v>3997</v>
      </c>
      <c r="V84" s="1">
        <f>S84+U85</f>
        <v>1014.9368375517728</v>
      </c>
    </row>
    <row r="85" spans="1:22">
      <c r="A85" s="47"/>
      <c r="B85" s="27">
        <v>1</v>
      </c>
      <c r="C85" s="5">
        <v>1337</v>
      </c>
      <c r="D85" s="1">
        <v>15.02</v>
      </c>
      <c r="E85" s="1">
        <v>2155.5</v>
      </c>
      <c r="F85" s="1">
        <v>337</v>
      </c>
      <c r="G85" s="5">
        <v>1</v>
      </c>
      <c r="H85" s="21"/>
      <c r="I85" s="30" t="s">
        <v>57</v>
      </c>
      <c r="J85" s="30"/>
      <c r="K85" s="30"/>
      <c r="L85" s="14">
        <f>C85</f>
        <v>1337</v>
      </c>
      <c r="M85" s="1">
        <f>E85</f>
        <v>2155.5</v>
      </c>
      <c r="N85" s="1">
        <f>IF(D85,L85/D85,0)</f>
        <v>89.014647137150462</v>
      </c>
      <c r="O85" s="15">
        <f>L85-N85</f>
        <v>1247.9853528628496</v>
      </c>
      <c r="P85" s="14">
        <f t="shared" ref="P85:P88" si="24">IF(F85,O85/M85*F85/IF(G85,G85,1),0)</f>
        <v>195.11531612840656</v>
      </c>
      <c r="Q85" s="1">
        <f>IF(F85,SUM(L85:L88)-P84*M85/F85*IF(G85,G85,1),0)</f>
        <v>862.94820118813641</v>
      </c>
      <c r="R85" s="15">
        <f>N85+Q86</f>
        <v>609.0146471371504</v>
      </c>
      <c r="S85" s="14">
        <f>N85+H85*O85</f>
        <v>89.014647137150462</v>
      </c>
      <c r="T85" s="1">
        <f>IF(F85,(1-H85)*O85/M85*F85/IF(G85,G85,1),0)</f>
        <v>195.11531612840656</v>
      </c>
      <c r="U85" s="1">
        <f>IF(F85,SUM(L85:L88)-T84*M85/F85*IF(G85,G85,1),0)</f>
        <v>862.94820118813641</v>
      </c>
      <c r="V85" s="1">
        <f>S85+U86</f>
        <v>609.0146471371504</v>
      </c>
    </row>
    <row r="86" spans="1:22">
      <c r="A86" s="47"/>
      <c r="B86" s="27">
        <v>2</v>
      </c>
      <c r="C86" s="5">
        <v>394</v>
      </c>
      <c r="D86" s="1">
        <v>8.5649999999999995</v>
      </c>
      <c r="E86" s="1">
        <v>449</v>
      </c>
      <c r="F86" s="1">
        <v>453</v>
      </c>
      <c r="G86" s="5"/>
      <c r="H86" s="21"/>
      <c r="I86" s="30" t="s">
        <v>58</v>
      </c>
      <c r="J86" s="30"/>
      <c r="K86" s="30"/>
      <c r="L86" s="14">
        <f>C86</f>
        <v>394</v>
      </c>
      <c r="M86" s="1">
        <f>E86</f>
        <v>449</v>
      </c>
      <c r="N86" s="1">
        <f>IF(D86,L86/D86,0)</f>
        <v>46.001167542323415</v>
      </c>
      <c r="O86" s="15">
        <f>L86-N86</f>
        <v>347.9988324576766</v>
      </c>
      <c r="P86" s="14">
        <f t="shared" si="24"/>
        <v>351.09904477355792</v>
      </c>
      <c r="Q86" s="1">
        <f>SUM(L86:L88)</f>
        <v>520</v>
      </c>
      <c r="R86" s="15">
        <f>N86+Q87</f>
        <v>172.0011675423234</v>
      </c>
      <c r="S86" s="14">
        <f>N86+H86*O86</f>
        <v>46.001167542323415</v>
      </c>
      <c r="T86" s="1">
        <f t="shared" ref="T86:T88" si="25">IF(F86,(1-H86)*O86/M86*F86/IF(G86,G86,1),0)</f>
        <v>351.09904477355792</v>
      </c>
      <c r="U86" s="1">
        <f>SUM(L86:L88)</f>
        <v>520</v>
      </c>
      <c r="V86" s="1">
        <f>S86+U87</f>
        <v>172.0011675423234</v>
      </c>
    </row>
    <row r="87" spans="1:22">
      <c r="A87" s="33" t="s">
        <v>45</v>
      </c>
      <c r="B87" s="27">
        <v>3</v>
      </c>
      <c r="C87" s="5">
        <v>126</v>
      </c>
      <c r="D87" s="1">
        <v>6</v>
      </c>
      <c r="E87" s="1">
        <v>102</v>
      </c>
      <c r="F87" s="1">
        <v>460</v>
      </c>
      <c r="G87" s="5"/>
      <c r="H87" s="21"/>
      <c r="I87" s="30" t="s">
        <v>59</v>
      </c>
      <c r="J87" s="30"/>
      <c r="K87" s="30"/>
      <c r="L87" s="14">
        <f>C87</f>
        <v>126</v>
      </c>
      <c r="M87" s="1">
        <f>E87</f>
        <v>102</v>
      </c>
      <c r="N87" s="1">
        <f>IF(D87,L87/D87,0)</f>
        <v>21</v>
      </c>
      <c r="O87" s="15">
        <f>L87-N87</f>
        <v>105</v>
      </c>
      <c r="P87" s="14">
        <f t="shared" si="24"/>
        <v>473.52941176470586</v>
      </c>
      <c r="Q87" s="1">
        <f>SUM(L87:L88)</f>
        <v>126</v>
      </c>
      <c r="R87" s="15">
        <f>N87+Q88</f>
        <v>21</v>
      </c>
      <c r="S87" s="14">
        <f>N87+H87*O87</f>
        <v>21</v>
      </c>
      <c r="T87" s="1">
        <f t="shared" si="25"/>
        <v>473.52941176470586</v>
      </c>
      <c r="U87" s="1">
        <f>SUM(L87:L88)</f>
        <v>126</v>
      </c>
      <c r="V87" s="1">
        <f>S87+U88</f>
        <v>21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265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85" t="s">
        <v>42</v>
      </c>
      <c r="R89" s="85"/>
      <c r="S89" s="85"/>
      <c r="T89" s="31" t="s">
        <v>50</v>
      </c>
      <c r="U89" s="35" t="s">
        <v>47</v>
      </c>
      <c r="V89" s="36" t="s">
        <v>264</v>
      </c>
    </row>
    <row r="90" spans="1:22">
      <c r="A90" s="47"/>
      <c r="B90" s="27" t="s">
        <v>30</v>
      </c>
      <c r="C90" s="8">
        <v>205</v>
      </c>
      <c r="D90" s="1">
        <f>IF(C90,C90+Q84,"")</f>
        <v>4202</v>
      </c>
      <c r="E90" s="72">
        <f>IF(C90,C90/D90,"")</f>
        <v>4.8786292241789625E-2</v>
      </c>
      <c r="F90" s="14">
        <f>IF(AND(C90&lt;&gt;"",N82&lt;&gt;""),(M84/F84*E82+M85/F85*D82)/(C90+Q84),"")</f>
        <v>1.3973053668099267</v>
      </c>
      <c r="G90" s="1">
        <f>IF(C90,IF(AND(F84&lt;&gt;0,C82&lt;&gt;0),M85,M85/F85*D82)/(C90+Q85),"")</f>
        <v>2.0183563187820508</v>
      </c>
      <c r="H90" s="1">
        <f>IF(C90,(M86)/(C90+Q86),"")</f>
        <v>0.61931034482758618</v>
      </c>
      <c r="I90" s="1">
        <f>IF(C90,(M87)/(C90+Q87),"")</f>
        <v>0.30815709969788518</v>
      </c>
      <c r="J90" s="1">
        <f>IF(C90,(M88)/(C90+Q88),"")</f>
        <v>0</v>
      </c>
      <c r="K90" s="14">
        <f>IF(AND(C90&lt;&gt;"",N82&lt;&gt;""),9.8*N82*LN((C90+Q84)/(C90+R84)),"")</f>
        <v>4084.5285877497699</v>
      </c>
      <c r="L90" s="1">
        <f>IF(C90,9.8*F85*LN((C90+Q85)/(C90+R85)),"")</f>
        <v>896.70926247661112</v>
      </c>
      <c r="M90" s="1">
        <f>IF(C90,9.8*F86*LN((C90+Q86)/(C90+R86)),"")</f>
        <v>2903.0274109187667</v>
      </c>
      <c r="N90" s="1">
        <f>IF(C90,9.8*F87*LN((C90+Q87)/(C90+R87)),"")</f>
        <v>1720.1778594803347</v>
      </c>
      <c r="O90" s="1">
        <f>IF(C90,9.8*F88*LN((C90+Q88)/(C90+R88)),"")</f>
        <v>0</v>
      </c>
      <c r="P90" s="15">
        <f>IF(C90,SUM(K90:O90),"")</f>
        <v>9604.4431206254831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45</v>
      </c>
      <c r="B91" s="27" t="s">
        <v>31</v>
      </c>
      <c r="C91" s="9">
        <v>90</v>
      </c>
      <c r="D91" s="1">
        <f>IF(C91,C91+Q84,"")</f>
        <v>4087</v>
      </c>
      <c r="E91" s="72">
        <f t="shared" ref="E91:E93" si="26">IF(C91,C91/D91,"")</f>
        <v>2.2021042329336923E-2</v>
      </c>
      <c r="F91" s="14">
        <f>IF(AND(C91&lt;&gt;"",N82&lt;&gt;""),(M84/F84*E82+M85/F85*D82)/(C91+Q84),"")</f>
        <v>1.436622743169883</v>
      </c>
      <c r="G91" s="1">
        <f>IF(C91,IF(AND(F84&lt;&gt;0,C82&lt;&gt;0),M85,M85/F85*D82)/(C91+Q85),"")</f>
        <v>2.2619277703788319</v>
      </c>
      <c r="H91" s="1">
        <f>IF(C91,(M86)/(C91+Q86),"")</f>
        <v>0.73606557377049175</v>
      </c>
      <c r="I91" s="1">
        <f>IF(C91,(M87)/(C91+Q87),"")</f>
        <v>0.47222222222222221</v>
      </c>
      <c r="J91" s="1">
        <f>IF(C91,(M88)/(C91+Q88),"")</f>
        <v>0</v>
      </c>
      <c r="K91" s="14">
        <f>IF(AND(C91&lt;&gt;"",N82&lt;&gt;""),9.8*N82*LN((C91+Q84)/(C91+R84)),"")</f>
        <v>4319.8768649309523</v>
      </c>
      <c r="L91" s="1">
        <f>IF(C91,9.8*F85*LN((C91+Q85)/(C91+R85)),"")</f>
        <v>1023.4389236835106</v>
      </c>
      <c r="M91" s="1">
        <f>IF(C91,9.8*F86*LN((C91+Q86)/(C91+R86)),"")</f>
        <v>3751.7813213378522</v>
      </c>
      <c r="N91" s="1">
        <f>IF(C91,9.8*F87*LN((C91+Q87)/(C91+R87)),"")</f>
        <v>3001.1929143242141</v>
      </c>
      <c r="O91" s="1">
        <f>IF(C91,9.8*F88*LN((C91+Q88)/(C91+R88)),"")</f>
        <v>0</v>
      </c>
      <c r="P91" s="15">
        <f>IF(C91,SUM(K91:O91),"")</f>
        <v>12096.29002427653</v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32</v>
      </c>
      <c r="C92" s="9">
        <v>65</v>
      </c>
      <c r="D92" s="1">
        <f>IF(C92,C92+Q84,"")</f>
        <v>4062</v>
      </c>
      <c r="E92" s="72">
        <f t="shared" si="26"/>
        <v>1.6001969473165928E-2</v>
      </c>
      <c r="F92" s="14">
        <f>IF(AND(C92&lt;&gt;"",N82&lt;&gt;""),(M84/F84*E82+M85/F85*D82)/(C92+Q84),"")</f>
        <v>1.4454645867393676</v>
      </c>
      <c r="G92" s="1">
        <f>IF(C92,IF(AND(F84&lt;&gt;0,C82&lt;&gt;0),M85,M85/F85*D82)/(C92+Q85),"")</f>
        <v>2.322866726009186</v>
      </c>
      <c r="H92" s="1">
        <f>IF(C92,(M86)/(C92+Q86),"")</f>
        <v>0.76752136752136757</v>
      </c>
      <c r="I92" s="1">
        <f>IF(C92,(M87)/(C92+Q87),"")</f>
        <v>0.53403141361256545</v>
      </c>
      <c r="J92" s="1">
        <f>IF(C92,(M88)/(C92+Q88),"")</f>
        <v>0</v>
      </c>
      <c r="K92" s="14">
        <f>IF(AND(C92&lt;&gt;"",N82&lt;&gt;""),9.8*N82*LN((C92+Q84)/(C92+R84)),"")</f>
        <v>4375.1950042456419</v>
      </c>
      <c r="L92" s="1">
        <f>IF(C92,9.8*F85*LN((C92+Q85)/(C92+R85)),"")</f>
        <v>1055.9207175763843</v>
      </c>
      <c r="M92" s="1">
        <f>IF(C92,9.8*F86*LN((C92+Q86)/(C92+R86)),"")</f>
        <v>4011.2055741106824</v>
      </c>
      <c r="N92" s="1">
        <f>IF(C92,9.8*F87*LN((C92+Q87)/(C92+R87)),"")</f>
        <v>3597.0510021233945</v>
      </c>
      <c r="O92" s="1">
        <f>IF(C92,9.8*F88*LN((C92+Q88)/(C92+R88)),"")</f>
        <v>0</v>
      </c>
      <c r="P92" s="15">
        <f>IF(C92,SUM(K92:O92),"")</f>
        <v>13039.372298056103</v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/>
      <c r="D93" s="1" t="str">
        <f>IF(C93,C93+Q84,"")</f>
        <v/>
      </c>
      <c r="E93" s="72" t="str">
        <f t="shared" si="26"/>
        <v/>
      </c>
      <c r="F93" s="14" t="str">
        <f>IF(AND(C93&lt;&gt;"",N82&lt;&gt;""),(M84/F84*E82+M85/F85*D82)/(C93+Q84),"")</f>
        <v/>
      </c>
      <c r="G93" s="1" t="str">
        <f>IF(C93,IF(AND(F84&lt;&gt;0,C82&lt;&gt;0),M85,M85/F85*D82)/(C93+Q85),"")</f>
        <v/>
      </c>
      <c r="H93" s="1" t="str">
        <f>IF(C93,(M86)/(C93+Q86),"")</f>
        <v/>
      </c>
      <c r="I93" s="1" t="str">
        <f>IF(C93,(M87)/(C93+Q87),"")</f>
        <v/>
      </c>
      <c r="J93" s="1" t="str">
        <f>IF(C93,(M88)/(C93+Q88),"")</f>
        <v/>
      </c>
      <c r="K93" s="14" t="str">
        <f>IF(AND(C93&lt;&gt;"",N82&lt;&gt;""),9.8*N82*LN((C93+Q84)/(C93+R84)),"")</f>
        <v/>
      </c>
      <c r="L93" s="1" t="str">
        <f>IF(C93,9.8*F85*LN((C93+Q85)/(C93+R85)),"")</f>
        <v/>
      </c>
      <c r="M93" s="1" t="str">
        <f>IF(C93,9.8*F86*LN((C93+Q86)/(C93+R86)),"")</f>
        <v/>
      </c>
      <c r="N93" s="1" t="str">
        <f>IF(C93,9.8*F87*LN((C93+Q87)/(C93+R87)),"")</f>
        <v/>
      </c>
      <c r="O93" s="1" t="str">
        <f>IF(C93,9.8*F88*LN((C93+Q88)/(C93+R88)),"")</f>
        <v/>
      </c>
      <c r="P93" s="15" t="str">
        <f>IF(C93,SUM(K93:O93),"")</f>
        <v/>
      </c>
      <c r="Q93" s="17"/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54</v>
      </c>
      <c r="D94" s="12" t="s">
        <v>28</v>
      </c>
      <c r="E94" s="12" t="s">
        <v>266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85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/>
      <c r="D95" s="1" t="str">
        <f>IF(C95,C95+Q84,"")</f>
        <v/>
      </c>
      <c r="E95" s="72" t="str">
        <f>IF(C95,C95/D95,"")</f>
        <v/>
      </c>
      <c r="F95" s="14" t="str">
        <f>IF(AND(C95&lt;&gt;"",N82&lt;&gt;""),(M84/F84*E82+M85/F85*D82)/(C95+U84),"")</f>
        <v/>
      </c>
      <c r="G95" s="1" t="str">
        <f>IF(C95,IF(AND(F84&lt;&gt;0,C82&lt;&gt;0),M85,M85/F85*D82)/(C95+U85),"")</f>
        <v/>
      </c>
      <c r="H95" s="1" t="str">
        <f>IF(C95,(M86)/(C95+U86),"")</f>
        <v/>
      </c>
      <c r="I95" s="1" t="str">
        <f>IF(C95,(M87)/(C95+U87),"")</f>
        <v/>
      </c>
      <c r="J95" s="1" t="str">
        <f>IF(C95,(M88)/(C95+U88),"")</f>
        <v/>
      </c>
      <c r="K95" s="14" t="str">
        <f>IF(AND(C95&lt;&gt;"",N82&lt;&gt;""),9.8*N82*LN((C95+U84)/(C95+V84)),"")</f>
        <v/>
      </c>
      <c r="L95" s="1" t="str">
        <f>IF(C95,9.8*F85*LN((C95+U85)/(C95+V85)),"")</f>
        <v/>
      </c>
      <c r="M95" s="1" t="str">
        <f>IF(C95,9.8*F86*LN((C95+U86)/(C95+V86)),"")</f>
        <v/>
      </c>
      <c r="N95" s="1" t="str">
        <f>IF(C95,9.8*F87*LN((C95+U87)/(C95+V87)),"")</f>
        <v/>
      </c>
      <c r="O95" s="1" t="str">
        <f>IF(C95,9.8*F88*LN((C95+U88)/(C95+V88)),"")</f>
        <v/>
      </c>
      <c r="P95" s="15" t="str">
        <f>IF(C95,SUM(K95:O95),"")</f>
        <v/>
      </c>
      <c r="Q95" s="1"/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/>
      <c r="D96" s="1" t="str">
        <f>IF(C96,C96+Q84,"")</f>
        <v/>
      </c>
      <c r="E96" s="72" t="str">
        <f t="shared" ref="E96:E98" si="28">IF(C96,C96/D96,"")</f>
        <v/>
      </c>
      <c r="F96" s="14" t="str">
        <f>IF(AND(C96&lt;&gt;"",N82&lt;&gt;""),(M84/F84*E82+M85/F85*D82)/(C96+U84),"")</f>
        <v/>
      </c>
      <c r="G96" s="1" t="str">
        <f>IF(C96,IF(AND(F84&lt;&gt;0,C82&lt;&gt;0),M85,M85/F85*D82)/(C96+U85),"")</f>
        <v/>
      </c>
      <c r="H96" s="1" t="str">
        <f>IF(C96,(M86)/(C96+U86),"")</f>
        <v/>
      </c>
      <c r="I96" s="1" t="str">
        <f>IF(C96,(M87)/(C96+U87),"")</f>
        <v/>
      </c>
      <c r="J96" s="1" t="str">
        <f>IF(C96,(M88)/(C96+U88),"")</f>
        <v/>
      </c>
      <c r="K96" s="14" t="str">
        <f>IF(AND(C96&lt;&gt;"",N82&lt;&gt;""),9.8*N82*LN((C96+U84)/(C96+V84)),"")</f>
        <v/>
      </c>
      <c r="L96" s="1" t="str">
        <f>IF(C96,9.8*F85*LN((C96+U85)/(C96+V85)),"")</f>
        <v/>
      </c>
      <c r="M96" s="1" t="str">
        <f>IF(C96,9.8*F86*LN((C96+U86)/(C96+V86)),"")</f>
        <v/>
      </c>
      <c r="N96" s="1" t="str">
        <f>IF(C96,9.8*F87*LN((C96+U87)/(C96+V87)),"")</f>
        <v/>
      </c>
      <c r="O96" s="1" t="str">
        <f>IF(C96,9.8*F88*LN((C96+U88)/(C96+V88)),"")</f>
        <v/>
      </c>
      <c r="P96" s="15" t="str">
        <f>IF(C96,SUM(K96:O96),"")</f>
        <v/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45</v>
      </c>
      <c r="B98" s="49" t="s">
        <v>5</v>
      </c>
      <c r="C98" s="50"/>
      <c r="D98" s="25" t="str">
        <f>IF(C98,C98+Q84,"")</f>
        <v/>
      </c>
      <c r="E98" s="73" t="str">
        <f t="shared" si="28"/>
        <v/>
      </c>
      <c r="F98" s="70" t="str">
        <f>IF(AND(C98&lt;&gt;"",N82&lt;&gt;""),(M84/F84*E82+M85/F85*D82)/(C98+U84),"")</f>
        <v/>
      </c>
      <c r="G98" s="25" t="str">
        <f>IF(C98,IF(AND(F84&lt;&gt;0,C82&lt;&gt;0),M85,M85/F85*D82)/(C98+U85),"")</f>
        <v/>
      </c>
      <c r="H98" s="25" t="str">
        <f>IF(C98,(M86)/(C98+U86),"")</f>
        <v/>
      </c>
      <c r="I98" s="25" t="str">
        <f>IF(C98,(M87)/(C98+U87),"")</f>
        <v/>
      </c>
      <c r="J98" s="25" t="str">
        <f>IF(C98,(M88)/(C98+U88),"")</f>
        <v/>
      </c>
      <c r="K98" s="70" t="str">
        <f>IF(AND(C98&lt;&gt;"",N82&lt;&gt;""),9.8*N82*LN((C98+U84)/(C98+V84)),"")</f>
        <v/>
      </c>
      <c r="L98" s="25" t="str">
        <f>IF(C98,9.8*F85*LN((C98+U85)/(C98+V85)),"")</f>
        <v/>
      </c>
      <c r="M98" s="25" t="str">
        <f>IF(C98,9.8*F86*LN((C98+U86)/(C98+V86)),"")</f>
        <v/>
      </c>
      <c r="N98" s="25" t="str">
        <f>IF(C98,9.8*F87*LN((C98+U87)/(C98+V87)),"")</f>
        <v/>
      </c>
      <c r="O98" s="25" t="str">
        <f>IF(C98,9.8*F88*LN((C98+U88)/(C98+V88)),"")</f>
        <v/>
      </c>
      <c r="P98" s="71" t="str">
        <f>IF(C98,SUM(K98:O98),"")</f>
        <v/>
      </c>
      <c r="Q98" s="25"/>
      <c r="R98" s="25"/>
      <c r="S98" s="25"/>
      <c r="T98" s="51" t="str">
        <f t="shared" si="29"/>
        <v/>
      </c>
      <c r="U98" s="25"/>
      <c r="V98" s="25"/>
    </row>
    <row r="99" spans="1:22" ht="15" thickBot="1"/>
    <row r="100" spans="1:22" ht="15" thickBot="1">
      <c r="A100" s="52" t="s">
        <v>79</v>
      </c>
      <c r="B100" s="52"/>
      <c r="C100" s="29" t="s">
        <v>0</v>
      </c>
      <c r="D100" s="90" t="s">
        <v>41</v>
      </c>
      <c r="E100" s="90"/>
      <c r="F100" s="43"/>
      <c r="G100" s="43"/>
      <c r="H100" s="43"/>
      <c r="I100" s="86" t="s">
        <v>42</v>
      </c>
      <c r="J100" s="86"/>
      <c r="K100" s="86"/>
      <c r="L100" s="54" t="s">
        <v>70</v>
      </c>
      <c r="M100" s="86" t="s">
        <v>71</v>
      </c>
      <c r="N100" s="86"/>
      <c r="O100" s="87"/>
      <c r="P100" s="29" t="s">
        <v>49</v>
      </c>
      <c r="Q100" s="34" t="str">
        <f>IF(OR(P104&lt;P103,T104&lt;T103),"芯级燃烧时间不得小于助推燃烧时间！","")</f>
        <v/>
      </c>
      <c r="R100" s="44"/>
      <c r="S100" s="45"/>
      <c r="T100" s="29"/>
      <c r="U100" s="46" t="s">
        <v>45</v>
      </c>
      <c r="V100" s="46" t="s">
        <v>48</v>
      </c>
    </row>
    <row r="101" spans="1:22" ht="15" thickBot="1">
      <c r="A101" s="40" t="s">
        <v>107</v>
      </c>
      <c r="B101" s="39"/>
      <c r="C101" s="2">
        <v>2</v>
      </c>
      <c r="D101" s="2">
        <v>302</v>
      </c>
      <c r="E101" s="2">
        <v>302</v>
      </c>
      <c r="F101" s="41"/>
      <c r="G101" s="42"/>
      <c r="H101" s="42"/>
      <c r="I101" s="24" t="s">
        <v>95</v>
      </c>
      <c r="J101" s="24"/>
      <c r="K101" s="24"/>
      <c r="L101" s="55">
        <f>IFERROR(IF(AND(F103&lt;&gt;0,C101&lt;&gt;0),M103/F103*E101+M104/F104*D101,M104/F104*D101),0)</f>
        <v>2677.792899408284</v>
      </c>
      <c r="M101" s="53" t="s">
        <v>45</v>
      </c>
      <c r="N101" s="17">
        <f>IF(AND(F103&lt;&gt;0,C101&lt;&gt;0),(M103+M104)/(M103/F103+M104/F104),"")</f>
        <v>338</v>
      </c>
      <c r="O101" s="56" t="s">
        <v>45</v>
      </c>
      <c r="P101" s="89" t="s">
        <v>17</v>
      </c>
      <c r="Q101" s="89"/>
      <c r="R101" s="91"/>
      <c r="S101" s="88" t="s">
        <v>18</v>
      </c>
      <c r="T101" s="89"/>
      <c r="U101" s="89"/>
      <c r="V101" s="89"/>
    </row>
    <row r="102" spans="1:22" ht="15" thickBot="1">
      <c r="A102" s="33" t="s">
        <v>45</v>
      </c>
      <c r="B102" s="26" t="s">
        <v>39</v>
      </c>
      <c r="C102" s="1" t="s">
        <v>60</v>
      </c>
      <c r="D102" s="1" t="s">
        <v>61</v>
      </c>
      <c r="E102" s="1" t="s">
        <v>62</v>
      </c>
      <c r="F102" s="1" t="s">
        <v>63</v>
      </c>
      <c r="G102" s="1" t="s">
        <v>64</v>
      </c>
      <c r="H102" s="1" t="s">
        <v>65</v>
      </c>
      <c r="I102" s="59" t="s">
        <v>143</v>
      </c>
      <c r="J102" s="24"/>
      <c r="K102" s="24"/>
      <c r="L102" s="11" t="s">
        <v>6</v>
      </c>
      <c r="M102" s="12" t="s">
        <v>69</v>
      </c>
      <c r="N102" s="12" t="s">
        <v>13</v>
      </c>
      <c r="O102" s="13" t="s">
        <v>14</v>
      </c>
      <c r="P102" s="14" t="s">
        <v>12</v>
      </c>
      <c r="Q102" s="1" t="s">
        <v>10</v>
      </c>
      <c r="R102" s="15" t="s">
        <v>11</v>
      </c>
      <c r="S102" s="14" t="s">
        <v>13</v>
      </c>
      <c r="T102" s="1" t="s">
        <v>12</v>
      </c>
      <c r="U102" s="1" t="s">
        <v>10</v>
      </c>
      <c r="V102" s="1" t="s">
        <v>11</v>
      </c>
    </row>
    <row r="103" spans="1:22">
      <c r="A103" s="40"/>
      <c r="B103" s="27" t="s">
        <v>3</v>
      </c>
      <c r="C103" s="3">
        <v>600</v>
      </c>
      <c r="D103" s="4">
        <v>16</v>
      </c>
      <c r="E103" s="4">
        <v>999</v>
      </c>
      <c r="F103" s="4">
        <v>338</v>
      </c>
      <c r="G103" s="19"/>
      <c r="H103" s="20">
        <v>0.10199999999999999</v>
      </c>
      <c r="I103" s="24" t="s">
        <v>96</v>
      </c>
      <c r="J103" s="24"/>
      <c r="K103" s="24"/>
      <c r="L103" s="14">
        <f>C103*C101</f>
        <v>1200</v>
      </c>
      <c r="M103" s="1">
        <f>E103*C101</f>
        <v>1998</v>
      </c>
      <c r="N103" s="1">
        <f>IF(D103,L103/D103,0)</f>
        <v>75</v>
      </c>
      <c r="O103" s="15">
        <f>L103-N103</f>
        <v>1125</v>
      </c>
      <c r="P103" s="14">
        <f>IF(AND(F103&lt;&gt;0,C101&lt;&gt;0),O103/M103*F103/IF(G103,G103,1),0)</f>
        <v>190.31531531531533</v>
      </c>
      <c r="Q103" s="1">
        <f>SUM(L103:L107)</f>
        <v>2154</v>
      </c>
      <c r="R103" s="15">
        <f>N103+Q104</f>
        <v>578.99999999999989</v>
      </c>
      <c r="S103" s="14">
        <f>N103+H103*O103</f>
        <v>189.75</v>
      </c>
      <c r="T103" s="1">
        <f>IF(AND(F103&lt;&gt;0,C101&lt;&gt;0),(1-H103)*O103/M103*F103/IF(G103,G103,1),0)</f>
        <v>170.90315315315314</v>
      </c>
      <c r="U103" s="1">
        <f>SUM(L103:L107)</f>
        <v>2154</v>
      </c>
      <c r="V103" s="1">
        <f>S103+U104</f>
        <v>739.65</v>
      </c>
    </row>
    <row r="104" spans="1:22">
      <c r="A104" s="47"/>
      <c r="B104" s="27">
        <v>1</v>
      </c>
      <c r="C104" s="5">
        <v>600</v>
      </c>
      <c r="D104" s="1">
        <v>16</v>
      </c>
      <c r="E104" s="1">
        <v>999</v>
      </c>
      <c r="F104" s="1">
        <v>338</v>
      </c>
      <c r="G104" s="5">
        <v>0.8</v>
      </c>
      <c r="H104" s="21">
        <v>0.14000000000000001</v>
      </c>
      <c r="I104" s="30" t="s">
        <v>97</v>
      </c>
      <c r="J104" s="30"/>
      <c r="K104" s="30"/>
      <c r="L104" s="14">
        <f>C104</f>
        <v>600</v>
      </c>
      <c r="M104" s="1">
        <f>E104</f>
        <v>999</v>
      </c>
      <c r="N104" s="1">
        <f>IF(D104,L104/D104,0)</f>
        <v>37.5</v>
      </c>
      <c r="O104" s="15">
        <f>L104-N104</f>
        <v>562.5</v>
      </c>
      <c r="P104" s="14">
        <f t="shared" ref="P104:P107" si="30">IF(F104,O104/M104*F104/IF(G104,G104,1),0)</f>
        <v>237.89414414414415</v>
      </c>
      <c r="Q104" s="1">
        <f>IF(F104,SUM(L104:L107)-P103*M104/F104*IF(G104,G104,1),0)</f>
        <v>503.99999999999989</v>
      </c>
      <c r="R104" s="15">
        <f>N104+Q105</f>
        <v>391.5</v>
      </c>
      <c r="S104" s="14">
        <f>N104+H104*O104</f>
        <v>116.25000000000001</v>
      </c>
      <c r="T104" s="1">
        <f>IF(F104,(1-H104)*O104/M104*F104/IF(G104,G104,1),0)</f>
        <v>204.58896396396398</v>
      </c>
      <c r="U104" s="1">
        <f>IF(F104,SUM(L104:L107)-T103*M104/F104*IF(G104,G104,1),0)</f>
        <v>549.9</v>
      </c>
      <c r="V104" s="1">
        <f>S104+U105</f>
        <v>470.25</v>
      </c>
    </row>
    <row r="105" spans="1:22">
      <c r="A105" s="47"/>
      <c r="B105" s="27">
        <v>2</v>
      </c>
      <c r="C105" s="5">
        <v>310</v>
      </c>
      <c r="D105" s="1">
        <v>16</v>
      </c>
      <c r="E105" s="1">
        <v>281</v>
      </c>
      <c r="F105" s="1">
        <v>351</v>
      </c>
      <c r="G105" s="5"/>
      <c r="H105" s="21"/>
      <c r="I105" s="30" t="s">
        <v>98</v>
      </c>
      <c r="J105" s="30"/>
      <c r="K105" s="30"/>
      <c r="L105" s="14">
        <f>C105</f>
        <v>310</v>
      </c>
      <c r="M105" s="1">
        <f>E105</f>
        <v>281</v>
      </c>
      <c r="N105" s="1">
        <f>IF(D105,L105/D105,0)</f>
        <v>19.375</v>
      </c>
      <c r="O105" s="15">
        <f>L105-N105</f>
        <v>290.625</v>
      </c>
      <c r="P105" s="14">
        <f t="shared" si="30"/>
        <v>363.02268683274019</v>
      </c>
      <c r="Q105" s="1">
        <f>SUM(L105:L107)</f>
        <v>354</v>
      </c>
      <c r="R105" s="15">
        <f>N105+Q106</f>
        <v>63.375</v>
      </c>
      <c r="S105" s="14">
        <f>N105+H105*O105</f>
        <v>19.375</v>
      </c>
      <c r="T105" s="1">
        <f t="shared" ref="T105:T107" si="31">IF(F105,(1-H105)*O105/M105*F105/IF(G105,G105,1),0)</f>
        <v>363.02268683274019</v>
      </c>
      <c r="U105" s="1">
        <f>SUM(L105:L107)</f>
        <v>354</v>
      </c>
      <c r="V105" s="1">
        <f>S105+U106</f>
        <v>63.375</v>
      </c>
    </row>
    <row r="106" spans="1:22">
      <c r="A106" s="33" t="s">
        <v>45</v>
      </c>
      <c r="B106" s="27">
        <v>3</v>
      </c>
      <c r="C106" s="5">
        <v>44</v>
      </c>
      <c r="D106" s="1">
        <v>6</v>
      </c>
      <c r="E106" s="1">
        <v>27</v>
      </c>
      <c r="F106" s="1">
        <v>452</v>
      </c>
      <c r="G106" s="5"/>
      <c r="H106" s="21"/>
      <c r="I106" s="30" t="s">
        <v>99</v>
      </c>
      <c r="J106" s="30"/>
      <c r="K106" s="30"/>
      <c r="L106" s="14">
        <f>C106</f>
        <v>44</v>
      </c>
      <c r="M106" s="1">
        <f>E106</f>
        <v>27</v>
      </c>
      <c r="N106" s="1">
        <f>IF(D106,L106/D106,0)</f>
        <v>7.333333333333333</v>
      </c>
      <c r="O106" s="15">
        <f>L106-N106</f>
        <v>36.666666666666664</v>
      </c>
      <c r="P106" s="14">
        <f t="shared" si="30"/>
        <v>613.82716049382702</v>
      </c>
      <c r="Q106" s="1">
        <f>SUM(L106:L107)</f>
        <v>44</v>
      </c>
      <c r="R106" s="15">
        <f>N106+Q107</f>
        <v>7.333333333333333</v>
      </c>
      <c r="S106" s="14">
        <f>N106+H106*O106</f>
        <v>7.333333333333333</v>
      </c>
      <c r="T106" s="1">
        <f t="shared" si="31"/>
        <v>613.82716049382702</v>
      </c>
      <c r="U106" s="1">
        <f>SUM(L106:L107)</f>
        <v>44</v>
      </c>
      <c r="V106" s="1">
        <f>S106+U107</f>
        <v>7.333333333333333</v>
      </c>
    </row>
    <row r="107" spans="1:22" ht="15" thickBot="1">
      <c r="A107" s="40"/>
      <c r="B107" s="28">
        <v>4</v>
      </c>
      <c r="C107" s="6"/>
      <c r="D107" s="7"/>
      <c r="E107" s="7"/>
      <c r="F107" s="7"/>
      <c r="G107" s="22"/>
      <c r="H107" s="23"/>
      <c r="I107" s="60" t="str">
        <f>HYPERLINK(":\Reference\新一代载人登月运载火箭总体方案和关键技术.png","新一代载人登月运载火箭总体方案和关键技术.png")</f>
        <v>新一代载人登月运载火箭总体方案和关键技术.png</v>
      </c>
      <c r="J107" s="24"/>
      <c r="K107" s="24"/>
      <c r="L107" s="16">
        <f>C107</f>
        <v>0</v>
      </c>
      <c r="M107" s="17">
        <f>E107</f>
        <v>0</v>
      </c>
      <c r="N107" s="17">
        <f>IF(D107,L107/D107,0)</f>
        <v>0</v>
      </c>
      <c r="O107" s="18">
        <f>L107-N107</f>
        <v>0</v>
      </c>
      <c r="P107" s="14">
        <f t="shared" si="30"/>
        <v>0</v>
      </c>
      <c r="Q107" s="17">
        <f>SUM(L107:L107)</f>
        <v>0</v>
      </c>
      <c r="R107" s="18">
        <f>N107</f>
        <v>0</v>
      </c>
      <c r="S107" s="16">
        <f>N107+H107*O107</f>
        <v>0</v>
      </c>
      <c r="T107" s="17">
        <f t="shared" si="31"/>
        <v>0</v>
      </c>
      <c r="U107" s="17">
        <f>SUM(L107:L107)</f>
        <v>0</v>
      </c>
      <c r="V107" s="17">
        <f>S107</f>
        <v>0</v>
      </c>
    </row>
    <row r="108" spans="1:22" ht="15" thickBot="1">
      <c r="A108" s="47"/>
      <c r="B108" s="26" t="s">
        <v>38</v>
      </c>
      <c r="C108" s="1" t="s">
        <v>4</v>
      </c>
      <c r="D108" s="1" t="s">
        <v>28</v>
      </c>
      <c r="E108" s="1" t="s">
        <v>265</v>
      </c>
      <c r="F108" s="69" t="s">
        <v>40</v>
      </c>
      <c r="G108" s="1" t="s">
        <v>29</v>
      </c>
      <c r="H108" s="1" t="s">
        <v>23</v>
      </c>
      <c r="I108" s="12" t="s">
        <v>24</v>
      </c>
      <c r="J108" s="12" t="s">
        <v>25</v>
      </c>
      <c r="K108" s="11" t="s">
        <v>19</v>
      </c>
      <c r="L108" s="12" t="s">
        <v>26</v>
      </c>
      <c r="M108" s="12" t="s">
        <v>20</v>
      </c>
      <c r="N108" s="12" t="s">
        <v>21</v>
      </c>
      <c r="O108" s="12" t="s">
        <v>22</v>
      </c>
      <c r="P108" s="13" t="s">
        <v>27</v>
      </c>
      <c r="Q108" s="85" t="s">
        <v>42</v>
      </c>
      <c r="R108" s="85"/>
      <c r="S108" s="85"/>
      <c r="T108" s="31" t="s">
        <v>50</v>
      </c>
      <c r="U108" s="35" t="s">
        <v>47</v>
      </c>
      <c r="V108" s="36" t="s">
        <v>264</v>
      </c>
    </row>
    <row r="109" spans="1:22">
      <c r="A109" s="47"/>
      <c r="B109" s="27" t="s">
        <v>30</v>
      </c>
      <c r="C109" s="8">
        <v>83</v>
      </c>
      <c r="D109" s="1">
        <f>IF(C109,C109+Q103,"")</f>
        <v>2237</v>
      </c>
      <c r="E109" s="72">
        <f>IF(C109,C109/D109,"")</f>
        <v>3.7103263299061245E-2</v>
      </c>
      <c r="F109" s="14">
        <f>IF(AND(C109&lt;&gt;"",N101&lt;&gt;""),(M103/F103*E101+M104/F104*D101)/(C109+Q103),"")</f>
        <v>1.1970464458687009</v>
      </c>
      <c r="G109" s="1">
        <f>IF(C109,IF(AND(F103&lt;&gt;0,C101&lt;&gt;0),M104,M104/F104*D101)/(C109+Q104),"")</f>
        <v>1.7018739352640548</v>
      </c>
      <c r="H109" s="1">
        <f>IF(C109,(M105)/(C109+Q105),"")</f>
        <v>0.6430205949656751</v>
      </c>
      <c r="I109" s="1">
        <f>IF(C109,(M106)/(C109+Q106),"")</f>
        <v>0.2125984251968504</v>
      </c>
      <c r="J109" s="1">
        <f>IF(C109,(M107)/(C109+Q107),"")</f>
        <v>0</v>
      </c>
      <c r="K109" s="14">
        <f>IF(AND(C109&lt;&gt;"",N101&lt;&gt;""),9.8*N101*LN((C109+Q103)/(C109+R103)),"")</f>
        <v>4033.2623933541599</v>
      </c>
      <c r="L109" s="1">
        <f>IF(C109,9.8*F104*LN((C109+Q104)/(C109+R104)),"")</f>
        <v>704.75682956982382</v>
      </c>
      <c r="M109" s="1">
        <f>IF(C109,9.8*F105*LN((C109+Q105)/(C109+R105)),"")</f>
        <v>3762.3203714566826</v>
      </c>
      <c r="N109" s="1">
        <f>IF(C109,9.8*F106*LN((C109+Q106)/(C109+R106)),"")</f>
        <v>1509.0785830925117</v>
      </c>
      <c r="O109" s="1">
        <f>IF(C109,9.8*F107*LN((C109+Q107)/(C109+R107)),"")</f>
        <v>0</v>
      </c>
      <c r="P109" s="15">
        <f>IF(C109,SUM(K109:O109),"")</f>
        <v>10009.418177473179</v>
      </c>
      <c r="Q109" s="1"/>
      <c r="R109" s="1"/>
      <c r="S109" s="1"/>
      <c r="T109" s="32" t="str">
        <f>IF(OR(F109&lt;1,AND(F109="",G109&lt;1)),"起飞推重比不得小于0，空天飞机除外","")</f>
        <v/>
      </c>
      <c r="U109" s="1"/>
      <c r="V109" s="1"/>
    </row>
    <row r="110" spans="1:22">
      <c r="A110" s="33" t="s">
        <v>45</v>
      </c>
      <c r="B110" s="27" t="s">
        <v>31</v>
      </c>
      <c r="C110" s="9">
        <v>40</v>
      </c>
      <c r="D110" s="1">
        <f>IF(C110,C110+Q103,"")</f>
        <v>2194</v>
      </c>
      <c r="E110" s="72">
        <f t="shared" ref="E110:E112" si="32">IF(C110,C110/D110,"")</f>
        <v>1.8231540565177756E-2</v>
      </c>
      <c r="F110" s="14">
        <f>IF(AND(C110&lt;&gt;"",N101&lt;&gt;""),(M103/F103*E101+M104/F104*D101)/(C110+Q103),"")</f>
        <v>1.2205072467676774</v>
      </c>
      <c r="G110" s="1">
        <f>IF(C110,IF(AND(F103&lt;&gt;0,C101&lt;&gt;0),M104,M104/F104*D101)/(C110+Q104),"")</f>
        <v>1.8363970588235299</v>
      </c>
      <c r="H110" s="1">
        <f>IF(C110,(M105)/(C110+Q105),"")</f>
        <v>0.71319796954314718</v>
      </c>
      <c r="I110" s="1">
        <f>IF(C110,(M106)/(C110+Q106),"")</f>
        <v>0.32142857142857145</v>
      </c>
      <c r="J110" s="1">
        <f>IF(C110,(M107)/(C110+Q107),"")</f>
        <v>0</v>
      </c>
      <c r="K110" s="14">
        <f>IF(AND(C110&lt;&gt;"",N101&lt;&gt;""),9.8*N101*LN((C110+Q103)/(C110+R103)),"")</f>
        <v>4191.4326818619802</v>
      </c>
      <c r="L110" s="1">
        <f>IF(C110,9.8*F104*LN((C110+Q104)/(C110+R104)),"")</f>
        <v>767.42258342763967</v>
      </c>
      <c r="M110" s="1">
        <f>IF(C110,9.8*F105*LN((C110+Q105)/(C110+R105)),"")</f>
        <v>4602.4102829308395</v>
      </c>
      <c r="N110" s="1">
        <f>IF(C110,9.8*F106*LN((C110+Q106)/(C110+R106)),"")</f>
        <v>2540.8275516900562</v>
      </c>
      <c r="O110" s="1">
        <f>IF(C110,9.8*F107*LN((C110+Q107)/(C110+R107)),"")</f>
        <v>0</v>
      </c>
      <c r="P110" s="15">
        <f>IF(C110,SUM(K110:O110),"")</f>
        <v>12102.093099910515</v>
      </c>
      <c r="Q110" s="1"/>
      <c r="R110" s="1"/>
      <c r="S110" s="1"/>
      <c r="T110" s="32" t="str">
        <f t="shared" ref="T110:T112" si="33">IF(OR(F110&lt;1,AND(F110="",G110&lt;1)),"起飞推重比不得小于0，空天飞机除外","")</f>
        <v/>
      </c>
      <c r="U110" s="1"/>
      <c r="V110" s="1"/>
    </row>
    <row r="111" spans="1:22">
      <c r="A111" s="40"/>
      <c r="B111" s="27" t="s">
        <v>32</v>
      </c>
      <c r="C111" s="9">
        <v>27</v>
      </c>
      <c r="D111" s="1">
        <f>IF(C111,C111+Q103,"")</f>
        <v>2181</v>
      </c>
      <c r="E111" s="72">
        <f t="shared" si="32"/>
        <v>1.2379642365887207E-2</v>
      </c>
      <c r="F111" s="14">
        <f>IF(AND(C111&lt;&gt;"",N101&lt;&gt;""),(M103/F103*E101+M104/F104*D101)/(C111+Q103),"")</f>
        <v>1.2277821638735829</v>
      </c>
      <c r="G111" s="1">
        <f>IF(C111,IF(AND(F103&lt;&gt;0,C101&lt;&gt;0),M104,M104/F104*D101)/(C111+Q104),"")</f>
        <v>1.8813559322033901</v>
      </c>
      <c r="H111" s="1">
        <f>IF(C111,(M105)/(C111+Q105),"")</f>
        <v>0.73753280839895008</v>
      </c>
      <c r="I111" s="1">
        <f>IF(C111,(M106)/(C111+Q106),"")</f>
        <v>0.38028169014084506</v>
      </c>
      <c r="J111" s="1">
        <f>IF(C111,(M107)/(C111+Q107),"")</f>
        <v>0</v>
      </c>
      <c r="K111" s="14">
        <f>IF(AND(C111&lt;&gt;"",N101&lt;&gt;""),9.8*N101*LN((C111+Q103)/(C111+R103)),"")</f>
        <v>4242.0541433102799</v>
      </c>
      <c r="L111" s="1">
        <f>IF(C111,9.8*F104*LN((C111+Q104)/(C111+R104)),"")</f>
        <v>788.63318895922237</v>
      </c>
      <c r="M111" s="1">
        <f>IF(C111,9.8*F105*LN((C111+Q105)/(C111+R105)),"")</f>
        <v>4949.2932632494067</v>
      </c>
      <c r="N111" s="1">
        <f>IF(C111,9.8*F106*LN((C111+Q106)/(C111+R106)),"")</f>
        <v>3218.3842509644751</v>
      </c>
      <c r="O111" s="1">
        <f>IF(C111,9.8*F107*LN((C111+Q107)/(C111+R107)),"")</f>
        <v>0</v>
      </c>
      <c r="P111" s="15">
        <f>IF(C111,SUM(K111:O111),"")</f>
        <v>13198.364846483382</v>
      </c>
      <c r="Q111" s="1"/>
      <c r="R111" s="1"/>
      <c r="S111" s="1"/>
      <c r="T111" s="32" t="str">
        <f t="shared" si="33"/>
        <v/>
      </c>
      <c r="U111" s="1"/>
      <c r="V111" s="1"/>
    </row>
    <row r="112" spans="1:22" ht="15" thickBot="1">
      <c r="A112" s="47"/>
      <c r="B112" s="28" t="s">
        <v>5</v>
      </c>
      <c r="C112" s="10"/>
      <c r="D112" s="1" t="str">
        <f>IF(C112,C112+Q103,"")</f>
        <v/>
      </c>
      <c r="E112" s="72" t="str">
        <f t="shared" si="32"/>
        <v/>
      </c>
      <c r="F112" s="14" t="str">
        <f>IF(AND(C112&lt;&gt;"",N101&lt;&gt;""),(M103/F103*E101+M104/F104*D101)/(C112+Q103),"")</f>
        <v/>
      </c>
      <c r="G112" s="1" t="str">
        <f>IF(C112,IF(AND(F103&lt;&gt;0,C101&lt;&gt;0),M104,M104/F104*D101)/(C112+Q104),"")</f>
        <v/>
      </c>
      <c r="H112" s="1" t="str">
        <f>IF(C112,(M105)/(C112+Q105),"")</f>
        <v/>
      </c>
      <c r="I112" s="1" t="str">
        <f>IF(C112,(M106)/(C112+Q106),"")</f>
        <v/>
      </c>
      <c r="J112" s="1" t="str">
        <f>IF(C112,(M107)/(C112+Q107),"")</f>
        <v/>
      </c>
      <c r="K112" s="14" t="str">
        <f>IF(AND(C112&lt;&gt;"",N101&lt;&gt;""),9.8*N101*LN((C112+Q103)/(C112+R103)),"")</f>
        <v/>
      </c>
      <c r="L112" s="1" t="str">
        <f>IF(C112,9.8*F104*LN((C112+Q104)/(C112+R104)),"")</f>
        <v/>
      </c>
      <c r="M112" s="1" t="str">
        <f>IF(C112,9.8*F105*LN((C112+Q105)/(C112+R105)),"")</f>
        <v/>
      </c>
      <c r="N112" s="1" t="str">
        <f>IF(C112,9.8*F106*LN((C112+Q106)/(C112+R106)),"")</f>
        <v/>
      </c>
      <c r="O112" s="1" t="str">
        <f>IF(C112,9.8*F107*LN((C112+Q107)/(C112+R107)),"")</f>
        <v/>
      </c>
      <c r="P112" s="15" t="str">
        <f>IF(C112,SUM(K112:O112),"")</f>
        <v/>
      </c>
      <c r="Q112" s="17"/>
      <c r="R112" s="17"/>
      <c r="S112" s="17"/>
      <c r="T112" s="32" t="str">
        <f t="shared" si="33"/>
        <v/>
      </c>
      <c r="U112" s="1"/>
      <c r="V112" s="1"/>
    </row>
    <row r="113" spans="1:22" ht="15" thickBot="1">
      <c r="A113" s="33" t="s">
        <v>45</v>
      </c>
      <c r="B113" s="26" t="s">
        <v>37</v>
      </c>
      <c r="C113" s="1" t="s">
        <v>54</v>
      </c>
      <c r="D113" s="12" t="s">
        <v>28</v>
      </c>
      <c r="E113" s="12" t="s">
        <v>266</v>
      </c>
      <c r="F113" s="11" t="s">
        <v>40</v>
      </c>
      <c r="G113" s="12" t="s">
        <v>29</v>
      </c>
      <c r="H113" s="12" t="s">
        <v>23</v>
      </c>
      <c r="I113" s="12" t="s">
        <v>24</v>
      </c>
      <c r="J113" s="12" t="s">
        <v>25</v>
      </c>
      <c r="K113" s="11" t="s">
        <v>19</v>
      </c>
      <c r="L113" s="12" t="s">
        <v>26</v>
      </c>
      <c r="M113" s="12" t="s">
        <v>20</v>
      </c>
      <c r="N113" s="12" t="s">
        <v>21</v>
      </c>
      <c r="O113" s="12" t="s">
        <v>22</v>
      </c>
      <c r="P113" s="13" t="s">
        <v>27</v>
      </c>
      <c r="Q113" s="85" t="s">
        <v>42</v>
      </c>
      <c r="R113" s="85"/>
      <c r="S113" s="85"/>
      <c r="T113" s="12" t="s">
        <v>51</v>
      </c>
      <c r="U113" s="37" t="s">
        <v>45</v>
      </c>
      <c r="V113" s="38" t="s">
        <v>48</v>
      </c>
    </row>
    <row r="114" spans="1:22">
      <c r="A114" s="40"/>
      <c r="B114" s="27" t="s">
        <v>30</v>
      </c>
      <c r="C114" s="8">
        <v>58</v>
      </c>
      <c r="D114" s="1">
        <f>IF(C114,C114+Q103,"")</f>
        <v>2212</v>
      </c>
      <c r="E114" s="72">
        <f>IF(C114,C114/D114,"")</f>
        <v>2.6220614828209764E-2</v>
      </c>
      <c r="F114" s="14">
        <f>IF(AND(C114&lt;&gt;"",N101&lt;&gt;""),(M103/F103*E101+M104/F104*D101)/(C114+U103),"")</f>
        <v>1.2105754518120633</v>
      </c>
      <c r="G114" s="1">
        <f>IF(C114,IF(AND(F103&lt;&gt;0,C101&lt;&gt;0),M104,M104/F104*D101)/(C114+U104),"")</f>
        <v>1.6433623951307781</v>
      </c>
      <c r="H114" s="1">
        <f>IF(C114,(M105)/(C114+U105),"")</f>
        <v>0.68203883495145634</v>
      </c>
      <c r="I114" s="1">
        <f>IF(C114,(M106)/(C114+U106),"")</f>
        <v>0.26470588235294118</v>
      </c>
      <c r="J114" s="1">
        <f>IF(C114,(M107)/(C114+U107),"")</f>
        <v>0</v>
      </c>
      <c r="K114" s="14">
        <f>IF(AND(C114&lt;&gt;"",N101&lt;&gt;""),9.8*N101*LN((C114+U103)/(C114+V103)),"")</f>
        <v>3378.5898935321229</v>
      </c>
      <c r="L114" s="1">
        <f>IF(C114,9.8*F104*LN((C114+U104)/(C114+V104)),"")</f>
        <v>465.19590140749057</v>
      </c>
      <c r="M114" s="1">
        <f>IF(C114,9.8*F105*LN((C114+U105)/(C114+V105)),"")</f>
        <v>4203.9117465343015</v>
      </c>
      <c r="N114" s="1">
        <f>IF(C114,9.8*F106*LN((C114+U106)/(C114+V106)),"")</f>
        <v>1973.2558730807671</v>
      </c>
      <c r="O114" s="1">
        <f>IF(C114,9.8*F107*LN((C114+U107)/(C114+V107)),"")</f>
        <v>0</v>
      </c>
      <c r="P114" s="15">
        <f>IF(C114,SUM(K114:O114),"")</f>
        <v>10020.953414554682</v>
      </c>
      <c r="Q114" s="1"/>
      <c r="R114" s="1"/>
      <c r="S114" s="1"/>
      <c r="T114" s="32" t="str">
        <f>IF(OR(F114&lt;1,AND(F114="",G114&lt;1)),"起飞推重比不得小于0，空天飞机除外","")</f>
        <v/>
      </c>
      <c r="U114" s="1"/>
      <c r="V114" s="1"/>
    </row>
    <row r="115" spans="1:22">
      <c r="A115" s="47"/>
      <c r="B115" s="27" t="s">
        <v>31</v>
      </c>
      <c r="C115" s="9">
        <v>27</v>
      </c>
      <c r="D115" s="1">
        <f>IF(C115,C115+Q103,"")</f>
        <v>2181</v>
      </c>
      <c r="E115" s="72">
        <f t="shared" ref="E115:E117" si="34">IF(C115,C115/D115,"")</f>
        <v>1.2379642365887207E-2</v>
      </c>
      <c r="F115" s="14">
        <f>IF(AND(C115&lt;&gt;"",N101&lt;&gt;""),(M103/F103*E101+M104/F104*D101)/(C115+U103),"")</f>
        <v>1.2277821638735829</v>
      </c>
      <c r="G115" s="1">
        <f>IF(C115,IF(AND(F103&lt;&gt;0,C101&lt;&gt;0),M104,M104/F104*D101)/(C115+U104),"")</f>
        <v>1.7316692667706708</v>
      </c>
      <c r="H115" s="1">
        <f>IF(C115,(M105)/(C115+U105),"")</f>
        <v>0.73753280839895008</v>
      </c>
      <c r="I115" s="1">
        <f>IF(C115,(M106)/(C115+U106),"")</f>
        <v>0.38028169014084506</v>
      </c>
      <c r="J115" s="1">
        <f>IF(C115,(M107)/(C115+U107),"")</f>
        <v>0</v>
      </c>
      <c r="K115" s="14">
        <f>IF(AND(C115&lt;&gt;"",N101&lt;&gt;""),9.8*N101*LN((C115+U103)/(C115+V103)),"")</f>
        <v>3463.1419987182207</v>
      </c>
      <c r="L115" s="1">
        <f>IF(C115,9.8*F104*LN((C115+U104)/(C115+V104)),"")</f>
        <v>492.14322033667145</v>
      </c>
      <c r="M115" s="1">
        <f>IF(C115,9.8*F105*LN((C115+U105)/(C115+V105)),"")</f>
        <v>4949.2932632494067</v>
      </c>
      <c r="N115" s="1">
        <f>IF(C115,9.8*F106*LN((C115+U106)/(C115+V106)),"")</f>
        <v>3218.3842509644751</v>
      </c>
      <c r="O115" s="1">
        <f>IF(C115,9.8*F107*LN((C115+U107)/(C115+V107)),"")</f>
        <v>0</v>
      </c>
      <c r="P115" s="15">
        <f>IF(C115,SUM(K115:O115),"")</f>
        <v>12122.962733268774</v>
      </c>
      <c r="Q115" s="1"/>
      <c r="R115" s="1"/>
      <c r="S115" s="1"/>
      <c r="T115" s="32" t="str">
        <f t="shared" ref="T115:T117" si="35">IF(OR(F115&lt;1,AND(F115="",G115&lt;1)),"起飞推重比不得小于0，空天飞机除外","")</f>
        <v/>
      </c>
      <c r="U115" s="1"/>
      <c r="V115" s="1"/>
    </row>
    <row r="116" spans="1:22">
      <c r="A116" s="47"/>
      <c r="B116" s="27" t="s">
        <v>32</v>
      </c>
      <c r="C116" s="9">
        <v>18</v>
      </c>
      <c r="D116" s="1">
        <f>IF(C116,C116+Q103,"")</f>
        <v>2172</v>
      </c>
      <c r="E116" s="72">
        <f t="shared" si="34"/>
        <v>8.2872928176795577E-3</v>
      </c>
      <c r="F116" s="14">
        <f>IF(AND(C116&lt;&gt;"",N101&lt;&gt;""),(M103/F103*E101+M104/F104*D101)/(C116+U103),"")</f>
        <v>1.232869659027755</v>
      </c>
      <c r="G116" s="1">
        <f>IF(C116,IF(AND(F103&lt;&gt;0,C101&lt;&gt;0),M104,M104/F104*D101)/(C116+U104),"")</f>
        <v>1.7591125198098256</v>
      </c>
      <c r="H116" s="1">
        <f>IF(C116,(M105)/(C116+U105),"")</f>
        <v>0.7553763440860215</v>
      </c>
      <c r="I116" s="1">
        <f>IF(C116,(M106)/(C116+U106),"")</f>
        <v>0.43548387096774194</v>
      </c>
      <c r="J116" s="1">
        <f>IF(C116,(M107)/(C116+U107),"")</f>
        <v>0</v>
      </c>
      <c r="K116" s="14">
        <f>IF(AND(C116&lt;&gt;"",N101&lt;&gt;""),9.8*N101*LN((C116+U103)/(C116+V103)),"")</f>
        <v>3488.5605320355094</v>
      </c>
      <c r="L116" s="1">
        <f>IF(C116,9.8*F104*LN((C116+U104)/(C116+V104)),"")</f>
        <v>500.56252495414475</v>
      </c>
      <c r="M116" s="1">
        <f>IF(C116,9.8*F105*LN((C116+U105)/(C116+V105)),"")</f>
        <v>5227.8966277300324</v>
      </c>
      <c r="N116" s="1">
        <f>IF(C116,9.8*F106*LN((C116+U106)/(C116+V106)),"")</f>
        <v>3964.5510617476648</v>
      </c>
      <c r="O116" s="1">
        <f>IF(C116,9.8*F107*LN((C116+U107)/(C116+V107)),"")</f>
        <v>0</v>
      </c>
      <c r="P116" s="15">
        <f>IF(C116,SUM(K116:O116),"")</f>
        <v>13181.570746467351</v>
      </c>
      <c r="Q116" s="1"/>
      <c r="R116" s="1"/>
      <c r="S116" s="1"/>
      <c r="T116" s="32" t="str">
        <f t="shared" si="35"/>
        <v/>
      </c>
      <c r="U116" s="1"/>
      <c r="V116" s="1"/>
    </row>
    <row r="117" spans="1:22" ht="15" thickBot="1">
      <c r="A117" s="48" t="s">
        <v>45</v>
      </c>
      <c r="B117" s="49" t="s">
        <v>5</v>
      </c>
      <c r="C117" s="50"/>
      <c r="D117" s="25" t="str">
        <f>IF(C117,C117+Q103,"")</f>
        <v/>
      </c>
      <c r="E117" s="73" t="str">
        <f t="shared" si="34"/>
        <v/>
      </c>
      <c r="F117" s="70" t="str">
        <f>IF(AND(C117&lt;&gt;"",N101&lt;&gt;""),(M103/F103*E101+M104/F104*D101)/(C117+U103),"")</f>
        <v/>
      </c>
      <c r="G117" s="25" t="str">
        <f>IF(C117,IF(AND(F103&lt;&gt;0,C101&lt;&gt;0),M104,M104/F104*D101)/(C117+U104),"")</f>
        <v/>
      </c>
      <c r="H117" s="25" t="str">
        <f>IF(C117,(M105)/(C117+U105),"")</f>
        <v/>
      </c>
      <c r="I117" s="25" t="str">
        <f>IF(C117,(M106)/(C117+U106),"")</f>
        <v/>
      </c>
      <c r="J117" s="25" t="str">
        <f>IF(C117,(M107)/(C117+U107),"")</f>
        <v/>
      </c>
      <c r="K117" s="70" t="str">
        <f>IF(AND(C117&lt;&gt;"",N101&lt;&gt;""),9.8*N101*LN((C117+U103)/(C117+V103)),"")</f>
        <v/>
      </c>
      <c r="L117" s="25" t="str">
        <f>IF(C117,9.8*F104*LN((C117+U104)/(C117+V104)),"")</f>
        <v/>
      </c>
      <c r="M117" s="25" t="str">
        <f>IF(C117,9.8*F105*LN((C117+U105)/(C117+V105)),"")</f>
        <v/>
      </c>
      <c r="N117" s="25" t="str">
        <f>IF(C117,9.8*F106*LN((C117+U106)/(C117+V106)),"")</f>
        <v/>
      </c>
      <c r="O117" s="25" t="str">
        <f>IF(C117,9.8*F107*LN((C117+U107)/(C117+V107)),"")</f>
        <v/>
      </c>
      <c r="P117" s="71" t="str">
        <f>IF(C117,SUM(K117:O117),"")</f>
        <v/>
      </c>
      <c r="Q117" s="25"/>
      <c r="R117" s="25"/>
      <c r="S117" s="25"/>
      <c r="T117" s="51" t="str">
        <f t="shared" si="35"/>
        <v/>
      </c>
      <c r="U117" s="25"/>
      <c r="V117" s="25"/>
    </row>
    <row r="118" spans="1:22" ht="15" thickBot="1"/>
    <row r="119" spans="1:22" ht="15" thickBot="1">
      <c r="A119" s="52" t="s">
        <v>80</v>
      </c>
      <c r="B119" s="52"/>
      <c r="C119" s="29" t="s">
        <v>0</v>
      </c>
      <c r="D119" s="90" t="s">
        <v>41</v>
      </c>
      <c r="E119" s="90"/>
      <c r="F119" s="43"/>
      <c r="G119" s="43"/>
      <c r="H119" s="43"/>
      <c r="I119" s="86" t="s">
        <v>42</v>
      </c>
      <c r="J119" s="86"/>
      <c r="K119" s="86"/>
      <c r="L119" s="54" t="s">
        <v>70</v>
      </c>
      <c r="M119" s="86" t="s">
        <v>71</v>
      </c>
      <c r="N119" s="86"/>
      <c r="O119" s="87"/>
      <c r="P119" s="29" t="s">
        <v>49</v>
      </c>
      <c r="Q119" s="34" t="str">
        <f>IF(OR(P123&lt;P122,T123&lt;T122),"芯级燃烧时间不得小于助推燃烧时间！","")</f>
        <v/>
      </c>
      <c r="R119" s="44"/>
      <c r="S119" s="45"/>
      <c r="T119" s="29"/>
      <c r="U119" s="46" t="s">
        <v>45</v>
      </c>
      <c r="V119" s="46" t="s">
        <v>48</v>
      </c>
    </row>
    <row r="120" spans="1:22" ht="15" thickBot="1">
      <c r="A120" s="40" t="s">
        <v>108</v>
      </c>
      <c r="B120" s="39"/>
      <c r="C120" s="2">
        <v>2</v>
      </c>
      <c r="D120" s="2">
        <v>302</v>
      </c>
      <c r="E120" s="2">
        <v>302</v>
      </c>
      <c r="F120" s="41"/>
      <c r="G120" s="42"/>
      <c r="H120" s="42"/>
      <c r="I120" s="24" t="s">
        <v>111</v>
      </c>
      <c r="J120" s="24"/>
      <c r="K120" s="24"/>
      <c r="L120" s="55">
        <f>IFERROR(IF(AND(F122&lt;&gt;0,C120&lt;&gt;0),M122/F122*E120+M123/F123*D120,M123/F123*D120),0)</f>
        <v>2677.792899408284</v>
      </c>
      <c r="M120" s="53" t="s">
        <v>45</v>
      </c>
      <c r="N120" s="17">
        <f>IF(AND(F122&lt;&gt;0,C120&lt;&gt;0),(M122+M123)/(M122/F122+M123/F123),"")</f>
        <v>338</v>
      </c>
      <c r="O120" s="56" t="s">
        <v>45</v>
      </c>
      <c r="P120" s="89" t="s">
        <v>17</v>
      </c>
      <c r="Q120" s="89"/>
      <c r="R120" s="91"/>
      <c r="S120" s="88" t="s">
        <v>18</v>
      </c>
      <c r="T120" s="89"/>
      <c r="U120" s="89"/>
      <c r="V120" s="89"/>
    </row>
    <row r="121" spans="1:22" ht="15" thickBot="1">
      <c r="A121" s="33" t="s">
        <v>45</v>
      </c>
      <c r="B121" s="26" t="s">
        <v>39</v>
      </c>
      <c r="C121" s="1" t="s">
        <v>60</v>
      </c>
      <c r="D121" s="1" t="s">
        <v>61</v>
      </c>
      <c r="E121" s="1" t="s">
        <v>62</v>
      </c>
      <c r="F121" s="1" t="s">
        <v>63</v>
      </c>
      <c r="G121" s="1" t="s">
        <v>64</v>
      </c>
      <c r="H121" s="1" t="s">
        <v>65</v>
      </c>
      <c r="I121" s="60" t="s">
        <v>143</v>
      </c>
      <c r="J121" s="24"/>
      <c r="K121" s="24"/>
      <c r="L121" s="11" t="s">
        <v>6</v>
      </c>
      <c r="M121" s="12" t="s">
        <v>69</v>
      </c>
      <c r="N121" s="12" t="s">
        <v>13</v>
      </c>
      <c r="O121" s="13" t="s">
        <v>14</v>
      </c>
      <c r="P121" s="14" t="s">
        <v>12</v>
      </c>
      <c r="Q121" s="1" t="s">
        <v>10</v>
      </c>
      <c r="R121" s="15" t="s">
        <v>11</v>
      </c>
      <c r="S121" s="14" t="s">
        <v>13</v>
      </c>
      <c r="T121" s="1" t="s">
        <v>12</v>
      </c>
      <c r="U121" s="1" t="s">
        <v>10</v>
      </c>
      <c r="V121" s="1" t="s">
        <v>11</v>
      </c>
    </row>
    <row r="122" spans="1:22">
      <c r="A122" s="40"/>
      <c r="B122" s="27" t="s">
        <v>3</v>
      </c>
      <c r="C122" s="3">
        <v>600</v>
      </c>
      <c r="D122" s="4">
        <v>16</v>
      </c>
      <c r="E122" s="4">
        <v>999</v>
      </c>
      <c r="F122" s="4">
        <v>338</v>
      </c>
      <c r="G122" s="19"/>
      <c r="H122" s="20">
        <v>0.10199999999999999</v>
      </c>
      <c r="I122" s="24" t="s">
        <v>100</v>
      </c>
      <c r="J122" s="24"/>
      <c r="K122" s="24"/>
      <c r="L122" s="14">
        <f>C122*C120</f>
        <v>1200</v>
      </c>
      <c r="M122" s="1">
        <f>E122*C120</f>
        <v>1998</v>
      </c>
      <c r="N122" s="1">
        <f>IF(D122,L122/D122,0)</f>
        <v>75</v>
      </c>
      <c r="O122" s="15">
        <f>L122-N122</f>
        <v>1125</v>
      </c>
      <c r="P122" s="14">
        <f>IF(AND(F122&lt;&gt;0,C120&lt;&gt;0),O122/M122*F122/IF(G122,G122,1),0)</f>
        <v>190.31531531531533</v>
      </c>
      <c r="Q122" s="1">
        <f>SUM(L122:L126)</f>
        <v>2110</v>
      </c>
      <c r="R122" s="15">
        <f>N122+Q123</f>
        <v>534.99999999999989</v>
      </c>
      <c r="S122" s="14">
        <f>N122+H122*O122</f>
        <v>189.75</v>
      </c>
      <c r="T122" s="1">
        <f>IF(AND(F122&lt;&gt;0,C120&lt;&gt;0),(1-H122)*O122/M122*F122/IF(G122,G122,1),0)</f>
        <v>170.90315315315314</v>
      </c>
      <c r="U122" s="1">
        <f>SUM(L122:L126)</f>
        <v>2110</v>
      </c>
      <c r="V122" s="1">
        <f>S122+U123</f>
        <v>695.65</v>
      </c>
    </row>
    <row r="123" spans="1:22">
      <c r="A123" s="47"/>
      <c r="B123" s="27">
        <v>1</v>
      </c>
      <c r="C123" s="5">
        <v>600</v>
      </c>
      <c r="D123" s="1">
        <v>16</v>
      </c>
      <c r="E123" s="1">
        <v>999</v>
      </c>
      <c r="F123" s="1">
        <v>338</v>
      </c>
      <c r="G123" s="5">
        <v>0.8</v>
      </c>
      <c r="H123" s="21">
        <v>0.14000000000000001</v>
      </c>
      <c r="I123" s="30" t="s">
        <v>100</v>
      </c>
      <c r="J123" s="30"/>
      <c r="K123" s="30"/>
      <c r="L123" s="14">
        <f>C123</f>
        <v>600</v>
      </c>
      <c r="M123" s="1">
        <f>E123</f>
        <v>999</v>
      </c>
      <c r="N123" s="1">
        <f>IF(D123,L123/D123,0)</f>
        <v>37.5</v>
      </c>
      <c r="O123" s="15">
        <f>L123-N123</f>
        <v>562.5</v>
      </c>
      <c r="P123" s="14">
        <f t="shared" ref="P123:P126" si="36">IF(F123,O123/M123*F123/IF(G123,G123,1),0)</f>
        <v>237.89414414414415</v>
      </c>
      <c r="Q123" s="1">
        <f>IF(F123,SUM(L123:L126)-P122*M123/F123*IF(G123,G123,1),0)</f>
        <v>459.99999999999989</v>
      </c>
      <c r="R123" s="15">
        <f>N123+Q124</f>
        <v>347.5</v>
      </c>
      <c r="S123" s="14">
        <f>N123+H123*O123</f>
        <v>116.25000000000001</v>
      </c>
      <c r="T123" s="1">
        <f>IF(F123,(1-H123)*O123/M123*F123/IF(G123,G123,1),0)</f>
        <v>204.58896396396398</v>
      </c>
      <c r="U123" s="1">
        <f>IF(F123,SUM(L123:L126)-T122*M123/F123*IF(G123,G123,1),0)</f>
        <v>505.9</v>
      </c>
      <c r="V123" s="1">
        <f>S123+U124</f>
        <v>426.25</v>
      </c>
    </row>
    <row r="124" spans="1:22">
      <c r="A124" s="47"/>
      <c r="B124" s="27">
        <v>2</v>
      </c>
      <c r="C124" s="5">
        <v>310</v>
      </c>
      <c r="D124" s="1">
        <v>16</v>
      </c>
      <c r="E124" s="1">
        <v>281</v>
      </c>
      <c r="F124" s="1">
        <v>351</v>
      </c>
      <c r="G124" s="5"/>
      <c r="H124" s="21"/>
      <c r="I124" s="30" t="s">
        <v>101</v>
      </c>
      <c r="J124" s="30"/>
      <c r="K124" s="30"/>
      <c r="L124" s="14">
        <f>C124</f>
        <v>310</v>
      </c>
      <c r="M124" s="1">
        <f>E124</f>
        <v>281</v>
      </c>
      <c r="N124" s="1">
        <f>IF(D124,L124/D124,0)</f>
        <v>19.375</v>
      </c>
      <c r="O124" s="15">
        <f>L124-N124</f>
        <v>290.625</v>
      </c>
      <c r="P124" s="14">
        <f t="shared" si="36"/>
        <v>363.02268683274019</v>
      </c>
      <c r="Q124" s="1">
        <f>SUM(L124:L126)</f>
        <v>310</v>
      </c>
      <c r="R124" s="15">
        <f>N124+Q125</f>
        <v>19.375</v>
      </c>
      <c r="S124" s="14">
        <f>N124+H124*O124</f>
        <v>19.375</v>
      </c>
      <c r="T124" s="1">
        <f t="shared" ref="T124:T126" si="37">IF(F124,(1-H124)*O124/M124*F124/IF(G124,G124,1),0)</f>
        <v>363.02268683274019</v>
      </c>
      <c r="U124" s="1">
        <f>SUM(L124:L126)</f>
        <v>310</v>
      </c>
      <c r="V124" s="1">
        <f>S124+U125</f>
        <v>19.375</v>
      </c>
    </row>
    <row r="125" spans="1:22">
      <c r="A125" s="33" t="s">
        <v>45</v>
      </c>
      <c r="B125" s="27">
        <v>3</v>
      </c>
      <c r="C125" s="5"/>
      <c r="D125" s="1"/>
      <c r="E125" s="1"/>
      <c r="F125" s="1"/>
      <c r="G125" s="5"/>
      <c r="H125" s="21"/>
      <c r="I125" s="30"/>
      <c r="J125" s="30"/>
      <c r="K125" s="30"/>
      <c r="L125" s="14">
        <f>C125</f>
        <v>0</v>
      </c>
      <c r="M125" s="1">
        <f>E125</f>
        <v>0</v>
      </c>
      <c r="N125" s="1">
        <f>IF(D125,L125/D125,0)</f>
        <v>0</v>
      </c>
      <c r="O125" s="15">
        <f>L125-N125</f>
        <v>0</v>
      </c>
      <c r="P125" s="14">
        <f t="shared" si="36"/>
        <v>0</v>
      </c>
      <c r="Q125" s="1">
        <f>SUM(L125:L126)</f>
        <v>0</v>
      </c>
      <c r="R125" s="15">
        <f>N125+Q126</f>
        <v>0</v>
      </c>
      <c r="S125" s="14">
        <f>N125+H125*O125</f>
        <v>0</v>
      </c>
      <c r="T125" s="1">
        <f t="shared" si="37"/>
        <v>0</v>
      </c>
      <c r="U125" s="1">
        <f>SUM(L125:L126)</f>
        <v>0</v>
      </c>
      <c r="V125" s="1">
        <f>S125+U126</f>
        <v>0</v>
      </c>
    </row>
    <row r="126" spans="1:22" ht="15" thickBot="1">
      <c r="A126" s="40"/>
      <c r="B126" s="28">
        <v>4</v>
      </c>
      <c r="C126" s="6"/>
      <c r="D126" s="7"/>
      <c r="E126" s="7"/>
      <c r="F126" s="7"/>
      <c r="G126" s="22"/>
      <c r="H126" s="23"/>
      <c r="I126" s="60" t="str">
        <f>HYPERLINK(":\Reference\新一代载人登月运载火箭总体方案和关键技术.png","新一代载人登月运载火箭总体方案和关键技术.png")</f>
        <v>新一代载人登月运载火箭总体方案和关键技术.png</v>
      </c>
      <c r="J126" s="24"/>
      <c r="K126" s="24"/>
      <c r="L126" s="16">
        <f>C126</f>
        <v>0</v>
      </c>
      <c r="M126" s="17">
        <f>E126</f>
        <v>0</v>
      </c>
      <c r="N126" s="17">
        <f>IF(D126,L126/D126,0)</f>
        <v>0</v>
      </c>
      <c r="O126" s="18">
        <f>L126-N126</f>
        <v>0</v>
      </c>
      <c r="P126" s="14">
        <f t="shared" si="36"/>
        <v>0</v>
      </c>
      <c r="Q126" s="17">
        <f>SUM(L126:L126)</f>
        <v>0</v>
      </c>
      <c r="R126" s="18">
        <f>N126</f>
        <v>0</v>
      </c>
      <c r="S126" s="16">
        <f>N126+H126*O126</f>
        <v>0</v>
      </c>
      <c r="T126" s="17">
        <f t="shared" si="37"/>
        <v>0</v>
      </c>
      <c r="U126" s="17">
        <f>SUM(L126:L126)</f>
        <v>0</v>
      </c>
      <c r="V126" s="17">
        <f>S126</f>
        <v>0</v>
      </c>
    </row>
    <row r="127" spans="1:22" ht="15" thickBot="1">
      <c r="A127" s="47"/>
      <c r="B127" s="26" t="s">
        <v>38</v>
      </c>
      <c r="C127" s="1" t="s">
        <v>4</v>
      </c>
      <c r="D127" s="1" t="s">
        <v>28</v>
      </c>
      <c r="E127" s="1" t="s">
        <v>265</v>
      </c>
      <c r="F127" s="69" t="s">
        <v>40</v>
      </c>
      <c r="G127" s="1" t="s">
        <v>29</v>
      </c>
      <c r="H127" s="1" t="s">
        <v>23</v>
      </c>
      <c r="I127" s="12" t="s">
        <v>24</v>
      </c>
      <c r="J127" s="12" t="s">
        <v>25</v>
      </c>
      <c r="K127" s="11" t="s">
        <v>19</v>
      </c>
      <c r="L127" s="12" t="s">
        <v>26</v>
      </c>
      <c r="M127" s="12" t="s">
        <v>20</v>
      </c>
      <c r="N127" s="12" t="s">
        <v>21</v>
      </c>
      <c r="O127" s="12" t="s">
        <v>22</v>
      </c>
      <c r="P127" s="13" t="s">
        <v>27</v>
      </c>
      <c r="Q127" s="85" t="s">
        <v>42</v>
      </c>
      <c r="R127" s="85"/>
      <c r="S127" s="85"/>
      <c r="T127" s="31" t="s">
        <v>50</v>
      </c>
      <c r="U127" s="35" t="s">
        <v>47</v>
      </c>
      <c r="V127" s="36" t="s">
        <v>264</v>
      </c>
    </row>
    <row r="128" spans="1:22">
      <c r="A128" s="47"/>
      <c r="B128" s="27" t="s">
        <v>30</v>
      </c>
      <c r="C128" s="8">
        <v>70</v>
      </c>
      <c r="D128" s="1">
        <f>IF(C128,C128+Q122,"")</f>
        <v>2180</v>
      </c>
      <c r="E128" s="72">
        <f>IF(C128,C128/D128,"")</f>
        <v>3.2110091743119268E-2</v>
      </c>
      <c r="F128" s="14">
        <f>IF(AND(C128&lt;&gt;"",N120&lt;&gt;""),(M122/F122*E120+M123/F123*D120)/(C128+Q122),"")</f>
        <v>1.2283453667010478</v>
      </c>
      <c r="G128" s="1">
        <f>IF(C128,IF(AND(F122&lt;&gt;0,C120&lt;&gt;0),M123,M123/F123*D120)/(C128+Q123),"")</f>
        <v>1.8849056603773588</v>
      </c>
      <c r="H128" s="1">
        <f>IF(C128,(M124)/(C128+Q124),"")</f>
        <v>0.73947368421052628</v>
      </c>
      <c r="I128" s="1">
        <f>IF(C128,(M125)/(C128+Q125),"")</f>
        <v>0</v>
      </c>
      <c r="J128" s="1">
        <f>IF(C128,(M126)/(C128+Q126),"")</f>
        <v>0</v>
      </c>
      <c r="K128" s="14">
        <f>IF(AND(C128&lt;&gt;"",N120&lt;&gt;""),9.8*N120*LN((C128+Q122)/(C128+R122)),"")</f>
        <v>4246.005563634697</v>
      </c>
      <c r="L128" s="1">
        <f>IF(C128,9.8*F123*LN((C128+Q123)/(C128+R123)),"")</f>
        <v>790.31367197431393</v>
      </c>
      <c r="M128" s="1">
        <f>IF(C128,9.8*F124*LN((C128+Q124)/(C128+R124)),"")</f>
        <v>4978.5265998191917</v>
      </c>
      <c r="N128" s="1">
        <f>IF(C128,9.8*F125*LN((C128+Q125)/(C128+R125)),"")</f>
        <v>0</v>
      </c>
      <c r="O128" s="1">
        <f>IF(C128,9.8*F126*LN((C128+Q126)/(C128+R126)),"")</f>
        <v>0</v>
      </c>
      <c r="P128" s="15">
        <f>IF(C128,SUM(K128:O128),"")</f>
        <v>10014.845835428203</v>
      </c>
      <c r="Q128" s="1"/>
      <c r="R128" s="1"/>
      <c r="S128" s="1"/>
      <c r="T128" s="32" t="str">
        <f>IF(OR(F128&lt;1,AND(F128="",G128&lt;1)),"起飞推重比不得小于0，空天飞机除外","")</f>
        <v/>
      </c>
      <c r="U128" s="1"/>
      <c r="V128" s="1"/>
    </row>
    <row r="129" spans="1:22">
      <c r="A129" s="33" t="s">
        <v>45</v>
      </c>
      <c r="B129" s="27" t="s">
        <v>31</v>
      </c>
      <c r="C129" s="9"/>
      <c r="D129" s="1" t="str">
        <f>IF(C129,C129+Q122,"")</f>
        <v/>
      </c>
      <c r="E129" s="72" t="str">
        <f t="shared" ref="E129:E131" si="38">IF(C129,C129/D129,"")</f>
        <v/>
      </c>
      <c r="F129" s="14" t="str">
        <f>IF(AND(C129&lt;&gt;"",N120&lt;&gt;""),(M122/F122*E120+M123/F123*D120)/(C129+Q122),"")</f>
        <v/>
      </c>
      <c r="G129" s="1" t="str">
        <f>IF(C129,IF(AND(F122&lt;&gt;0,C120&lt;&gt;0),M123,M123/F123*D120)/(C129+Q123),"")</f>
        <v/>
      </c>
      <c r="H129" s="1" t="str">
        <f>IF(C129,(M124)/(C129+Q124),"")</f>
        <v/>
      </c>
      <c r="I129" s="1" t="str">
        <f>IF(C129,(M125)/(C129+Q125),"")</f>
        <v/>
      </c>
      <c r="J129" s="1" t="str">
        <f>IF(C129,(M126)/(C129+Q126),"")</f>
        <v/>
      </c>
      <c r="K129" s="14" t="str">
        <f>IF(AND(C129&lt;&gt;"",N120&lt;&gt;""),9.8*N120*LN((C129+Q122)/(C129+R122)),"")</f>
        <v/>
      </c>
      <c r="L129" s="1" t="str">
        <f>IF(C129,9.8*F123*LN((C129+Q123)/(C129+R123)),"")</f>
        <v/>
      </c>
      <c r="M129" s="1" t="str">
        <f>IF(C129,9.8*F124*LN((C129+Q124)/(C129+R124)),"")</f>
        <v/>
      </c>
      <c r="N129" s="1" t="str">
        <f>IF(C129,9.8*F125*LN((C129+Q125)/(C129+R125)),"")</f>
        <v/>
      </c>
      <c r="O129" s="1" t="str">
        <f>IF(C129,9.8*F126*LN((C129+Q126)/(C129+R126)),"")</f>
        <v/>
      </c>
      <c r="P129" s="15" t="str">
        <f>IF(C129,SUM(K129:O129),"")</f>
        <v/>
      </c>
      <c r="Q129" s="1"/>
      <c r="R129" s="1"/>
      <c r="S129" s="1"/>
      <c r="T129" s="32" t="str">
        <f t="shared" ref="T129:T131" si="39">IF(OR(F129&lt;1,AND(F129="",G129&lt;1)),"起飞推重比不得小于0，空天飞机除外","")</f>
        <v/>
      </c>
      <c r="U129" s="1"/>
      <c r="V129" s="1"/>
    </row>
    <row r="130" spans="1:22">
      <c r="A130" s="40"/>
      <c r="B130" s="27" t="s">
        <v>32</v>
      </c>
      <c r="C130" s="9"/>
      <c r="D130" s="1" t="str">
        <f>IF(C130,C130+Q122,"")</f>
        <v/>
      </c>
      <c r="E130" s="72" t="str">
        <f t="shared" si="38"/>
        <v/>
      </c>
      <c r="F130" s="14" t="str">
        <f>IF(AND(C130&lt;&gt;"",N120&lt;&gt;""),(M122/F122*E120+M123/F123*D120)/(C130+Q122),"")</f>
        <v/>
      </c>
      <c r="G130" s="1" t="str">
        <f>IF(C130,IF(AND(F122&lt;&gt;0,C120&lt;&gt;0),M123,M123/F123*D120)/(C130+Q123),"")</f>
        <v/>
      </c>
      <c r="H130" s="1" t="str">
        <f>IF(C130,(M124)/(C130+Q124),"")</f>
        <v/>
      </c>
      <c r="I130" s="1" t="str">
        <f>IF(C130,(M125)/(C130+Q125),"")</f>
        <v/>
      </c>
      <c r="J130" s="1" t="str">
        <f>IF(C130,(M126)/(C130+Q126),"")</f>
        <v/>
      </c>
      <c r="K130" s="14" t="str">
        <f>IF(AND(C130&lt;&gt;"",N120&lt;&gt;""),9.8*N120*LN((C130+Q122)/(C130+R122)),"")</f>
        <v/>
      </c>
      <c r="L130" s="1" t="str">
        <f>IF(C130,9.8*F123*LN((C130+Q123)/(C130+R123)),"")</f>
        <v/>
      </c>
      <c r="M130" s="1" t="str">
        <f>IF(C130,9.8*F124*LN((C130+Q124)/(C130+R124)),"")</f>
        <v/>
      </c>
      <c r="N130" s="1" t="str">
        <f>IF(C130,9.8*F125*LN((C130+Q125)/(C130+R125)),"")</f>
        <v/>
      </c>
      <c r="O130" s="1" t="str">
        <f>IF(C130,9.8*F126*LN((C130+Q126)/(C130+R126)),"")</f>
        <v/>
      </c>
      <c r="P130" s="15" t="str">
        <f>IF(C130,SUM(K130:O130),"")</f>
        <v/>
      </c>
      <c r="Q130" s="1"/>
      <c r="R130" s="1"/>
      <c r="S130" s="1"/>
      <c r="T130" s="32" t="str">
        <f t="shared" si="39"/>
        <v/>
      </c>
      <c r="U130" s="1"/>
      <c r="V130" s="1"/>
    </row>
    <row r="131" spans="1:22" ht="15" thickBot="1">
      <c r="A131" s="47"/>
      <c r="B131" s="28" t="s">
        <v>5</v>
      </c>
      <c r="C131" s="10"/>
      <c r="D131" s="1" t="str">
        <f>IF(C131,C131+Q122,"")</f>
        <v/>
      </c>
      <c r="E131" s="72" t="str">
        <f t="shared" si="38"/>
        <v/>
      </c>
      <c r="F131" s="14" t="str">
        <f>IF(AND(C131&lt;&gt;"",N120&lt;&gt;""),(M122/F122*E120+M123/F123*D120)/(C131+Q122),"")</f>
        <v/>
      </c>
      <c r="G131" s="1" t="str">
        <f>IF(C131,IF(AND(F122&lt;&gt;0,C120&lt;&gt;0),M123,M123/F123*D120)/(C131+Q123),"")</f>
        <v/>
      </c>
      <c r="H131" s="1" t="str">
        <f>IF(C131,(M124)/(C131+Q124),"")</f>
        <v/>
      </c>
      <c r="I131" s="1" t="str">
        <f>IF(C131,(M125)/(C131+Q125),"")</f>
        <v/>
      </c>
      <c r="J131" s="1" t="str">
        <f>IF(C131,(M126)/(C131+Q126),"")</f>
        <v/>
      </c>
      <c r="K131" s="14" t="str">
        <f>IF(AND(C131&lt;&gt;"",N120&lt;&gt;""),9.8*N120*LN((C131+Q122)/(C131+R122)),"")</f>
        <v/>
      </c>
      <c r="L131" s="1" t="str">
        <f>IF(C131,9.8*F123*LN((C131+Q123)/(C131+R123)),"")</f>
        <v/>
      </c>
      <c r="M131" s="1" t="str">
        <f>IF(C131,9.8*F124*LN((C131+Q124)/(C131+R124)),"")</f>
        <v/>
      </c>
      <c r="N131" s="1" t="str">
        <f>IF(C131,9.8*F125*LN((C131+Q125)/(C131+R125)),"")</f>
        <v/>
      </c>
      <c r="O131" s="1" t="str">
        <f>IF(C131,9.8*F126*LN((C131+Q126)/(C131+R126)),"")</f>
        <v/>
      </c>
      <c r="P131" s="15" t="str">
        <f>IF(C131,SUM(K131:O131),"")</f>
        <v/>
      </c>
      <c r="Q131" s="17"/>
      <c r="R131" s="17"/>
      <c r="S131" s="17"/>
      <c r="T131" s="32" t="str">
        <f t="shared" si="39"/>
        <v/>
      </c>
      <c r="U131" s="1"/>
      <c r="V131" s="1"/>
    </row>
    <row r="132" spans="1:22" ht="15" thickBot="1">
      <c r="A132" s="33" t="s">
        <v>45</v>
      </c>
      <c r="B132" s="26" t="s">
        <v>37</v>
      </c>
      <c r="C132" s="1" t="s">
        <v>54</v>
      </c>
      <c r="D132" s="12" t="s">
        <v>28</v>
      </c>
      <c r="E132" s="12" t="s">
        <v>266</v>
      </c>
      <c r="F132" s="11" t="s">
        <v>40</v>
      </c>
      <c r="G132" s="12" t="s">
        <v>29</v>
      </c>
      <c r="H132" s="12" t="s">
        <v>23</v>
      </c>
      <c r="I132" s="12" t="s">
        <v>24</v>
      </c>
      <c r="J132" s="12" t="s">
        <v>25</v>
      </c>
      <c r="K132" s="11" t="s">
        <v>19</v>
      </c>
      <c r="L132" s="12" t="s">
        <v>26</v>
      </c>
      <c r="M132" s="12" t="s">
        <v>20</v>
      </c>
      <c r="N132" s="12" t="s">
        <v>21</v>
      </c>
      <c r="O132" s="12" t="s">
        <v>22</v>
      </c>
      <c r="P132" s="13" t="s">
        <v>27</v>
      </c>
      <c r="Q132" s="85" t="s">
        <v>42</v>
      </c>
      <c r="R132" s="85"/>
      <c r="S132" s="85"/>
      <c r="T132" s="12" t="s">
        <v>51</v>
      </c>
      <c r="U132" s="37" t="s">
        <v>45</v>
      </c>
      <c r="V132" s="38" t="s">
        <v>48</v>
      </c>
    </row>
    <row r="133" spans="1:22">
      <c r="A133" s="40"/>
      <c r="B133" s="27" t="s">
        <v>30</v>
      </c>
      <c r="C133" s="8">
        <v>43</v>
      </c>
      <c r="D133" s="1">
        <f>IF(C133,C133+Q122,"")</f>
        <v>2153</v>
      </c>
      <c r="E133" s="72">
        <f>IF(C133,C133/D133,"")</f>
        <v>1.9972131908964234E-2</v>
      </c>
      <c r="F133" s="14">
        <f>IF(AND(C133&lt;&gt;"",N120&lt;&gt;""),(M122/F122*E120+M123/F123*D120)/(C133+U122),"")</f>
        <v>1.2437496049272103</v>
      </c>
      <c r="G133" s="1">
        <f>IF(C133,IF(AND(F122&lt;&gt;0,C120&lt;&gt;0),M123,M123/F123*D120)/(C133+U123),"")</f>
        <v>1.8200036436509384</v>
      </c>
      <c r="H133" s="1">
        <f>IF(C133,(M124)/(C133+U124),"")</f>
        <v>0.79603399433427757</v>
      </c>
      <c r="I133" s="1">
        <f>IF(C133,(M125)/(C133+U125),"")</f>
        <v>0</v>
      </c>
      <c r="J133" s="1">
        <f>IF(C133,(M126)/(C133+U126),"")</f>
        <v>0</v>
      </c>
      <c r="K133" s="14">
        <f>IF(AND(C133&lt;&gt;"",N120&lt;&gt;""),9.8*N120*LN((C133+U122)/(C133+V122)),"")</f>
        <v>3543.5833322090607</v>
      </c>
      <c r="L133" s="1">
        <f>IF(C133,9.8*F123*LN((C133+U123)/(C133+V123)),"")</f>
        <v>519.3200597355501</v>
      </c>
      <c r="M133" s="1">
        <f>IF(C133,9.8*F124*LN((C133+U124)/(C133+V124)),"")</f>
        <v>5962.2173891433804</v>
      </c>
      <c r="N133" s="1">
        <f>IF(C133,9.8*F125*LN((C133+U125)/(C133+V125)),"")</f>
        <v>0</v>
      </c>
      <c r="O133" s="1">
        <f>IF(C133,9.8*F126*LN((C133+U126)/(C133+V126)),"")</f>
        <v>0</v>
      </c>
      <c r="P133" s="15">
        <f>IF(C133,SUM(K133:O133),"")</f>
        <v>10025.120781087991</v>
      </c>
      <c r="Q133" s="1"/>
      <c r="R133" s="1"/>
      <c r="S133" s="1"/>
      <c r="T133" s="32" t="str">
        <f>IF(OR(F133&lt;1,AND(F133="",G133&lt;1)),"起飞推重比不得小于0，空天飞机除外","")</f>
        <v/>
      </c>
      <c r="U133" s="1"/>
      <c r="V133" s="1"/>
    </row>
    <row r="134" spans="1:22">
      <c r="A134" s="47"/>
      <c r="B134" s="27" t="s">
        <v>31</v>
      </c>
      <c r="C134" s="9"/>
      <c r="D134" s="1" t="str">
        <f>IF(C134,C134+Q122,"")</f>
        <v/>
      </c>
      <c r="E134" s="72" t="str">
        <f t="shared" ref="E134:E136" si="40">IF(C134,C134/D134,"")</f>
        <v/>
      </c>
      <c r="F134" s="14" t="str">
        <f>IF(AND(C134&lt;&gt;"",N120&lt;&gt;""),(M122/F122*E120+M123/F123*D120)/(C134+U122),"")</f>
        <v/>
      </c>
      <c r="G134" s="1" t="str">
        <f>IF(C134,IF(AND(F122&lt;&gt;0,C120&lt;&gt;0),M123,M123/F123*D120)/(C134+U123),"")</f>
        <v/>
      </c>
      <c r="H134" s="1" t="str">
        <f>IF(C134,(M124)/(C134+U124),"")</f>
        <v/>
      </c>
      <c r="I134" s="1" t="str">
        <f>IF(C134,(M125)/(C134+U125),"")</f>
        <v/>
      </c>
      <c r="J134" s="1" t="str">
        <f>IF(C134,(M126)/(C134+U126),"")</f>
        <v/>
      </c>
      <c r="K134" s="14" t="str">
        <f>IF(AND(C134&lt;&gt;"",N120&lt;&gt;""),9.8*N120*LN((C134+U122)/(C134+V122)),"")</f>
        <v/>
      </c>
      <c r="L134" s="1" t="str">
        <f>IF(C134,9.8*F123*LN((C134+U123)/(C134+V123)),"")</f>
        <v/>
      </c>
      <c r="M134" s="1" t="str">
        <f>IF(C134,9.8*F124*LN((C134+U124)/(C134+V124)),"")</f>
        <v/>
      </c>
      <c r="N134" s="1" t="str">
        <f>IF(C134,9.8*F125*LN((C134+U125)/(C134+V125)),"")</f>
        <v/>
      </c>
      <c r="O134" s="1" t="str">
        <f>IF(C134,9.8*F126*LN((C134+U126)/(C134+V126)),"")</f>
        <v/>
      </c>
      <c r="P134" s="15" t="str">
        <f>IF(C134,SUM(K134:O134),"")</f>
        <v/>
      </c>
      <c r="Q134" s="1"/>
      <c r="R134" s="1"/>
      <c r="S134" s="1"/>
      <c r="T134" s="32" t="str">
        <f t="shared" ref="T134:T136" si="41">IF(OR(F134&lt;1,AND(F134="",G134&lt;1)),"起飞推重比不得小于0，空天飞机除外","")</f>
        <v/>
      </c>
      <c r="U134" s="1"/>
      <c r="V134" s="1"/>
    </row>
    <row r="135" spans="1:22">
      <c r="A135" s="47"/>
      <c r="B135" s="27" t="s">
        <v>32</v>
      </c>
      <c r="C135" s="9"/>
      <c r="D135" s="1" t="str">
        <f>IF(C135,C135+Q122,"")</f>
        <v/>
      </c>
      <c r="E135" s="72" t="str">
        <f t="shared" si="40"/>
        <v/>
      </c>
      <c r="F135" s="14" t="str">
        <f>IF(AND(C135&lt;&gt;"",N120&lt;&gt;""),(M122/F122*E120+M123/F123*D120)/(C135+U122),"")</f>
        <v/>
      </c>
      <c r="G135" s="1" t="str">
        <f>IF(C135,IF(AND(F122&lt;&gt;0,C120&lt;&gt;0),M123,M123/F123*D120)/(C135+U123),"")</f>
        <v/>
      </c>
      <c r="H135" s="1" t="str">
        <f>IF(C135,(M124)/(C135+U124),"")</f>
        <v/>
      </c>
      <c r="I135" s="1" t="str">
        <f>IF(C135,(M125)/(C135+U125),"")</f>
        <v/>
      </c>
      <c r="J135" s="1" t="str">
        <f>IF(C135,(M126)/(C135+U126),"")</f>
        <v/>
      </c>
      <c r="K135" s="14" t="str">
        <f>IF(AND(C135&lt;&gt;"",N120&lt;&gt;""),9.8*N120*LN((C135+U122)/(C135+V122)),"")</f>
        <v/>
      </c>
      <c r="L135" s="1" t="str">
        <f>IF(C135,9.8*F123*LN((C135+U123)/(C135+V123)),"")</f>
        <v/>
      </c>
      <c r="M135" s="1" t="str">
        <f>IF(C135,9.8*F124*LN((C135+U124)/(C135+V124)),"")</f>
        <v/>
      </c>
      <c r="N135" s="1" t="str">
        <f>IF(C135,9.8*F125*LN((C135+U125)/(C135+V125)),"")</f>
        <v/>
      </c>
      <c r="O135" s="1" t="str">
        <f>IF(C135,9.8*F126*LN((C135+U126)/(C135+V126)),"")</f>
        <v/>
      </c>
      <c r="P135" s="15" t="str">
        <f>IF(C135,SUM(K135:O135),"")</f>
        <v/>
      </c>
      <c r="Q135" s="1"/>
      <c r="R135" s="1"/>
      <c r="S135" s="1"/>
      <c r="T135" s="32" t="str">
        <f t="shared" si="41"/>
        <v/>
      </c>
      <c r="U135" s="1"/>
      <c r="V135" s="1"/>
    </row>
    <row r="136" spans="1:22" ht="15" thickBot="1">
      <c r="A136" s="48" t="s">
        <v>45</v>
      </c>
      <c r="B136" s="49" t="s">
        <v>5</v>
      </c>
      <c r="C136" s="50"/>
      <c r="D136" s="25" t="str">
        <f>IF(C136,C136+Q122,"")</f>
        <v/>
      </c>
      <c r="E136" s="73" t="str">
        <f t="shared" si="40"/>
        <v/>
      </c>
      <c r="F136" s="70" t="str">
        <f>IF(AND(C136&lt;&gt;"",N120&lt;&gt;""),(M122/F122*E120+M123/F123*D120)/(C136+U122),"")</f>
        <v/>
      </c>
      <c r="G136" s="25" t="str">
        <f>IF(C136,IF(AND(F122&lt;&gt;0,C120&lt;&gt;0),M123,M123/F123*D120)/(C136+U123),"")</f>
        <v/>
      </c>
      <c r="H136" s="25" t="str">
        <f>IF(C136,(M124)/(C136+U124),"")</f>
        <v/>
      </c>
      <c r="I136" s="25" t="str">
        <f>IF(C136,(M125)/(C136+U125),"")</f>
        <v/>
      </c>
      <c r="J136" s="25" t="str">
        <f>IF(C136,(M126)/(C136+U126),"")</f>
        <v/>
      </c>
      <c r="K136" s="70" t="str">
        <f>IF(AND(C136&lt;&gt;"",N120&lt;&gt;""),9.8*N120*LN((C136+U122)/(C136+V122)),"")</f>
        <v/>
      </c>
      <c r="L136" s="25" t="str">
        <f>IF(C136,9.8*F123*LN((C136+U123)/(C136+V123)),"")</f>
        <v/>
      </c>
      <c r="M136" s="25" t="str">
        <f>IF(C136,9.8*F124*LN((C136+U124)/(C136+V124)),"")</f>
        <v/>
      </c>
      <c r="N136" s="25" t="str">
        <f>IF(C136,9.8*F125*LN((C136+U125)/(C136+V125)),"")</f>
        <v/>
      </c>
      <c r="O136" s="25" t="str">
        <f>IF(C136,9.8*F126*LN((C136+U126)/(C136+V126)),"")</f>
        <v/>
      </c>
      <c r="P136" s="71" t="str">
        <f>IF(C136,SUM(K136:O136),"")</f>
        <v/>
      </c>
      <c r="Q136" s="25"/>
      <c r="R136" s="25"/>
      <c r="S136" s="25"/>
      <c r="T136" s="51" t="str">
        <f t="shared" si="41"/>
        <v/>
      </c>
      <c r="U136" s="25"/>
      <c r="V136" s="25"/>
    </row>
    <row r="137" spans="1:22" ht="15" thickBot="1"/>
    <row r="138" spans="1:22" ht="15" thickBot="1">
      <c r="A138" s="52" t="s">
        <v>81</v>
      </c>
      <c r="B138" s="52"/>
      <c r="C138" s="29" t="s">
        <v>0</v>
      </c>
      <c r="D138" s="90" t="s">
        <v>41</v>
      </c>
      <c r="E138" s="90"/>
      <c r="F138" s="43"/>
      <c r="G138" s="43"/>
      <c r="H138" s="43"/>
      <c r="I138" s="86" t="s">
        <v>42</v>
      </c>
      <c r="J138" s="86"/>
      <c r="K138" s="86"/>
      <c r="L138" s="54" t="s">
        <v>70</v>
      </c>
      <c r="M138" s="86" t="s">
        <v>71</v>
      </c>
      <c r="N138" s="86"/>
      <c r="O138" s="87"/>
      <c r="P138" s="29" t="s">
        <v>49</v>
      </c>
      <c r="Q138" s="34" t="str">
        <f>IF(OR(P142&lt;P141,T142&lt;T141),"芯级燃烧时间不得小于助推燃烧时间！","")</f>
        <v/>
      </c>
      <c r="R138" s="44"/>
      <c r="S138" s="45"/>
      <c r="T138" s="29"/>
      <c r="U138" s="46" t="s">
        <v>45</v>
      </c>
      <c r="V138" s="46" t="s">
        <v>48</v>
      </c>
    </row>
    <row r="139" spans="1:22" ht="15" thickBot="1">
      <c r="A139" s="40" t="s">
        <v>109</v>
      </c>
      <c r="B139" s="39"/>
      <c r="C139" s="2">
        <v>0</v>
      </c>
      <c r="D139" s="2">
        <v>302</v>
      </c>
      <c r="E139" s="2">
        <v>0</v>
      </c>
      <c r="F139" s="41"/>
      <c r="G139" s="42"/>
      <c r="H139" s="42"/>
      <c r="I139" s="24" t="s">
        <v>102</v>
      </c>
      <c r="J139" s="24"/>
      <c r="K139" s="24"/>
      <c r="L139" s="55">
        <f>IFERROR(IF(AND(F141&lt;&gt;0,C139&lt;&gt;0),M141/F141*E139+M142/F142*D139,M142/F142*D139),0)</f>
        <v>892.5976331360946</v>
      </c>
      <c r="M139" s="53" t="s">
        <v>45</v>
      </c>
      <c r="N139" s="17" t="str">
        <f>IF(AND(F141&lt;&gt;0,C139&lt;&gt;0),(M141+M142)/(M141/F141+M142/F142),"")</f>
        <v/>
      </c>
      <c r="O139" s="56" t="s">
        <v>45</v>
      </c>
      <c r="P139" s="89" t="s">
        <v>17</v>
      </c>
      <c r="Q139" s="89"/>
      <c r="R139" s="91"/>
      <c r="S139" s="88" t="s">
        <v>18</v>
      </c>
      <c r="T139" s="89"/>
      <c r="U139" s="89"/>
      <c r="V139" s="89"/>
    </row>
    <row r="140" spans="1:22" ht="15" thickBot="1">
      <c r="A140" s="33" t="s">
        <v>45</v>
      </c>
      <c r="B140" s="26" t="s">
        <v>39</v>
      </c>
      <c r="C140" s="1" t="s">
        <v>60</v>
      </c>
      <c r="D140" s="1" t="s">
        <v>61</v>
      </c>
      <c r="E140" s="1" t="s">
        <v>62</v>
      </c>
      <c r="F140" s="1" t="s">
        <v>63</v>
      </c>
      <c r="G140" s="1" t="s">
        <v>64</v>
      </c>
      <c r="H140" s="1" t="s">
        <v>65</v>
      </c>
      <c r="I140" s="60" t="s">
        <v>144</v>
      </c>
      <c r="J140" s="24"/>
      <c r="K140" s="24"/>
      <c r="L140" s="11" t="s">
        <v>6</v>
      </c>
      <c r="M140" s="12" t="s">
        <v>69</v>
      </c>
      <c r="N140" s="12" t="s">
        <v>13</v>
      </c>
      <c r="O140" s="13" t="s">
        <v>14</v>
      </c>
      <c r="P140" s="14" t="s">
        <v>12</v>
      </c>
      <c r="Q140" s="1" t="s">
        <v>10</v>
      </c>
      <c r="R140" s="15" t="s">
        <v>11</v>
      </c>
      <c r="S140" s="14" t="s">
        <v>13</v>
      </c>
      <c r="T140" s="1" t="s">
        <v>12</v>
      </c>
      <c r="U140" s="1" t="s">
        <v>10</v>
      </c>
      <c r="V140" s="1" t="s">
        <v>11</v>
      </c>
    </row>
    <row r="141" spans="1:22">
      <c r="A141" s="40"/>
      <c r="B141" s="27" t="s">
        <v>3</v>
      </c>
      <c r="C141" s="3"/>
      <c r="D141" s="4"/>
      <c r="E141" s="4"/>
      <c r="F141" s="4"/>
      <c r="G141" s="19"/>
      <c r="H141" s="20"/>
      <c r="I141" s="24"/>
      <c r="J141" s="24"/>
      <c r="K141" s="24"/>
      <c r="L141" s="14">
        <f>C141*C139</f>
        <v>0</v>
      </c>
      <c r="M141" s="1">
        <f>E141*C139</f>
        <v>0</v>
      </c>
      <c r="N141" s="1">
        <f>IF(D141,L141/D141,0)</f>
        <v>0</v>
      </c>
      <c r="O141" s="15">
        <f>L141-N141</f>
        <v>0</v>
      </c>
      <c r="P141" s="14">
        <f>IF(AND(F141&lt;&gt;0,C139&lt;&gt;0),O141/M141*F141/IF(G141,G141,1),0)</f>
        <v>0</v>
      </c>
      <c r="Q141" s="1">
        <f>SUM(L141:L145)</f>
        <v>705</v>
      </c>
      <c r="R141" s="15">
        <f>N141+Q142</f>
        <v>705</v>
      </c>
      <c r="S141" s="14">
        <f>N141+H141*O141</f>
        <v>0</v>
      </c>
      <c r="T141" s="1">
        <f>IF(AND(F141&lt;&gt;0,C139&lt;&gt;0),(1-H141)*O141/M141*F141/IF(G141,G141,1),0)</f>
        <v>0</v>
      </c>
      <c r="U141" s="1">
        <f>SUM(L141:L145)</f>
        <v>705</v>
      </c>
      <c r="V141" s="1">
        <f>S141+U142</f>
        <v>705</v>
      </c>
    </row>
    <row r="142" spans="1:22">
      <c r="A142" s="47"/>
      <c r="B142" s="27">
        <v>1</v>
      </c>
      <c r="C142" s="5">
        <v>550</v>
      </c>
      <c r="D142" s="1">
        <v>16</v>
      </c>
      <c r="E142" s="1">
        <v>999</v>
      </c>
      <c r="F142" s="1">
        <v>338</v>
      </c>
      <c r="G142" s="5">
        <v>1</v>
      </c>
      <c r="H142" s="21">
        <v>0.10199999999999999</v>
      </c>
      <c r="I142" s="30" t="s">
        <v>103</v>
      </c>
      <c r="J142" s="30"/>
      <c r="K142" s="30"/>
      <c r="L142" s="14">
        <f>C142</f>
        <v>550</v>
      </c>
      <c r="M142" s="1">
        <f>E142</f>
        <v>999</v>
      </c>
      <c r="N142" s="1">
        <f>IF(D142,L142/D142,0)</f>
        <v>34.375</v>
      </c>
      <c r="O142" s="15">
        <f>L142-N142</f>
        <v>515.625</v>
      </c>
      <c r="P142" s="14">
        <f t="shared" ref="P142:P145" si="42">IF(F142,O142/M142*F142/IF(G142,G142,1),0)</f>
        <v>174.45570570570572</v>
      </c>
      <c r="Q142" s="1">
        <f>IF(F142,SUM(L142:L145)-P141*M142/F142*IF(G142,G142,1),0)</f>
        <v>705</v>
      </c>
      <c r="R142" s="15">
        <f>N142+Q143</f>
        <v>189.375</v>
      </c>
      <c r="S142" s="14">
        <f>N142+H142*O142</f>
        <v>86.96875</v>
      </c>
      <c r="T142" s="1">
        <f>IF(F142,(1-H142)*O142/M142*F142/IF(G142,G142,1),0)</f>
        <v>156.66122372372371</v>
      </c>
      <c r="U142" s="1">
        <f>IF(F142,SUM(L142:L145)-T141*M142/F142*IF(G142,G142,1),0)</f>
        <v>705</v>
      </c>
      <c r="V142" s="1">
        <f>S142+U143</f>
        <v>241.96875</v>
      </c>
    </row>
    <row r="143" spans="1:22">
      <c r="A143" s="47"/>
      <c r="B143" s="27">
        <v>2</v>
      </c>
      <c r="C143" s="5">
        <v>155</v>
      </c>
      <c r="D143" s="1">
        <v>16</v>
      </c>
      <c r="E143" s="1">
        <v>140.5</v>
      </c>
      <c r="F143" s="1">
        <v>351</v>
      </c>
      <c r="G143" s="5"/>
      <c r="H143" s="21"/>
      <c r="I143" s="30" t="s">
        <v>104</v>
      </c>
      <c r="J143" s="30"/>
      <c r="K143" s="30"/>
      <c r="L143" s="14">
        <f>C143</f>
        <v>155</v>
      </c>
      <c r="M143" s="1">
        <f>E143</f>
        <v>140.5</v>
      </c>
      <c r="N143" s="1">
        <f>IF(D143,L143/D143,0)</f>
        <v>9.6875</v>
      </c>
      <c r="O143" s="15">
        <f>L143-N143</f>
        <v>145.3125</v>
      </c>
      <c r="P143" s="14">
        <f t="shared" si="42"/>
        <v>363.02268683274019</v>
      </c>
      <c r="Q143" s="1">
        <f>SUM(L143:L145)</f>
        <v>155</v>
      </c>
      <c r="R143" s="15">
        <f>N143+Q144</f>
        <v>9.6875</v>
      </c>
      <c r="S143" s="14">
        <f>N143+H143*O143</f>
        <v>9.6875</v>
      </c>
      <c r="T143" s="1">
        <f t="shared" ref="T143:T145" si="43">IF(F143,(1-H143)*O143/M143*F143/IF(G143,G143,1),0)</f>
        <v>363.02268683274019</v>
      </c>
      <c r="U143" s="1">
        <f>SUM(L143:L145)</f>
        <v>155</v>
      </c>
      <c r="V143" s="1">
        <f>S143+U144</f>
        <v>9.6875</v>
      </c>
    </row>
    <row r="144" spans="1:22">
      <c r="A144" s="33" t="s">
        <v>45</v>
      </c>
      <c r="B144" s="27">
        <v>3</v>
      </c>
      <c r="C144" s="5"/>
      <c r="D144" s="1"/>
      <c r="E144" s="1"/>
      <c r="F144" s="1"/>
      <c r="G144" s="5"/>
      <c r="H144" s="21"/>
      <c r="I144" s="30"/>
      <c r="J144" s="30"/>
      <c r="K144" s="30"/>
      <c r="L144" s="14">
        <f>C144</f>
        <v>0</v>
      </c>
      <c r="M144" s="1">
        <f>E144</f>
        <v>0</v>
      </c>
      <c r="N144" s="1">
        <f>IF(D144,L144/D144,0)</f>
        <v>0</v>
      </c>
      <c r="O144" s="15">
        <f>L144-N144</f>
        <v>0</v>
      </c>
      <c r="P144" s="14">
        <f t="shared" si="42"/>
        <v>0</v>
      </c>
      <c r="Q144" s="1">
        <f>SUM(L144:L145)</f>
        <v>0</v>
      </c>
      <c r="R144" s="15">
        <f>N144+Q145</f>
        <v>0</v>
      </c>
      <c r="S144" s="14">
        <f>N144+H144*O144</f>
        <v>0</v>
      </c>
      <c r="T144" s="1">
        <f t="shared" si="43"/>
        <v>0</v>
      </c>
      <c r="U144" s="1">
        <f>SUM(L144:L145)</f>
        <v>0</v>
      </c>
      <c r="V144" s="1">
        <f>S144+U145</f>
        <v>0</v>
      </c>
    </row>
    <row r="145" spans="1:22" ht="15" thickBot="1">
      <c r="A145" s="40"/>
      <c r="B145" s="28">
        <v>4</v>
      </c>
      <c r="C145" s="6"/>
      <c r="D145" s="7"/>
      <c r="E145" s="7"/>
      <c r="F145" s="7"/>
      <c r="G145" s="22"/>
      <c r="H145" s="23"/>
      <c r="I145" s="24"/>
      <c r="J145" s="24"/>
      <c r="K145" s="24"/>
      <c r="L145" s="16">
        <f>C145</f>
        <v>0</v>
      </c>
      <c r="M145" s="17">
        <f>E145</f>
        <v>0</v>
      </c>
      <c r="N145" s="17">
        <f>IF(D145,L145/D145,0)</f>
        <v>0</v>
      </c>
      <c r="O145" s="18">
        <f>L145-N145</f>
        <v>0</v>
      </c>
      <c r="P145" s="14">
        <f t="shared" si="42"/>
        <v>0</v>
      </c>
      <c r="Q145" s="17">
        <f>SUM(L145:L145)</f>
        <v>0</v>
      </c>
      <c r="R145" s="18">
        <f>N145</f>
        <v>0</v>
      </c>
      <c r="S145" s="16">
        <f>N145+H145*O145</f>
        <v>0</v>
      </c>
      <c r="T145" s="17">
        <f t="shared" si="43"/>
        <v>0</v>
      </c>
      <c r="U145" s="17">
        <f>SUM(L145:L145)</f>
        <v>0</v>
      </c>
      <c r="V145" s="17">
        <f>S145</f>
        <v>0</v>
      </c>
    </row>
    <row r="146" spans="1:22" ht="15" thickBot="1">
      <c r="A146" s="47"/>
      <c r="B146" s="26" t="s">
        <v>38</v>
      </c>
      <c r="C146" s="1" t="s">
        <v>4</v>
      </c>
      <c r="D146" s="1" t="s">
        <v>28</v>
      </c>
      <c r="E146" s="1" t="s">
        <v>265</v>
      </c>
      <c r="F146" s="69" t="s">
        <v>40</v>
      </c>
      <c r="G146" s="1" t="s">
        <v>29</v>
      </c>
      <c r="H146" s="1" t="s">
        <v>23</v>
      </c>
      <c r="I146" s="12" t="s">
        <v>24</v>
      </c>
      <c r="J146" s="12" t="s">
        <v>25</v>
      </c>
      <c r="K146" s="11" t="s">
        <v>19</v>
      </c>
      <c r="L146" s="12" t="s">
        <v>26</v>
      </c>
      <c r="M146" s="12" t="s">
        <v>20</v>
      </c>
      <c r="N146" s="12" t="s">
        <v>21</v>
      </c>
      <c r="O146" s="12" t="s">
        <v>22</v>
      </c>
      <c r="P146" s="13" t="s">
        <v>27</v>
      </c>
      <c r="Q146" s="94" t="s">
        <v>42</v>
      </c>
      <c r="R146" s="85"/>
      <c r="S146" s="85"/>
      <c r="T146" s="31" t="s">
        <v>50</v>
      </c>
      <c r="U146" s="35" t="s">
        <v>47</v>
      </c>
      <c r="V146" s="36" t="s">
        <v>264</v>
      </c>
    </row>
    <row r="147" spans="1:22">
      <c r="A147" s="47"/>
      <c r="B147" s="27" t="s">
        <v>30</v>
      </c>
      <c r="C147" s="8">
        <v>22</v>
      </c>
      <c r="D147" s="1">
        <f>IF(C147,C147+Q141,"")</f>
        <v>727</v>
      </c>
      <c r="E147" s="72">
        <f>IF(C147,C147/D147,"")</f>
        <v>3.0261348005502064E-2</v>
      </c>
      <c r="F147" s="14" t="str">
        <f>IF(AND(C147&lt;&gt;"",N139&lt;&gt;""),(M141/F141*E139+M142/F142*D139)/(C147+Q141),"")</f>
        <v/>
      </c>
      <c r="G147" s="1">
        <f>IF(C147,IF(AND(F141&lt;&gt;0,C139&lt;&gt;0),M142,M142/F142*D139)/(C147+Q142),"")</f>
        <v>1.2277821638735826</v>
      </c>
      <c r="H147" s="1">
        <f>IF(C147,(M143)/(C147+Q143),"")</f>
        <v>0.79378531073446323</v>
      </c>
      <c r="I147" s="1">
        <f>IF(C147,(M144)/(C147+Q144),"")</f>
        <v>0</v>
      </c>
      <c r="J147" s="1">
        <f>IF(C147,(M145)/(C147+Q145),"")</f>
        <v>0</v>
      </c>
      <c r="K147" s="14" t="str">
        <f>IF(AND(C147&lt;&gt;"",N139&lt;&gt;""),9.8*N139*LN((C147+Q141)/(C147+R141)),"")</f>
        <v/>
      </c>
      <c r="L147" s="1">
        <f>IF(C147,9.8*F142*LN((C147+Q142)/(C147+R142)),"")</f>
        <v>4091.783441150661</v>
      </c>
      <c r="M147" s="1">
        <f>IF(C147,9.8*F143*LN((C147+Q143)/(C147+R143)),"")</f>
        <v>5917.2383867149056</v>
      </c>
      <c r="N147" s="1">
        <f>IF(C147,9.8*F144*LN((C147+Q144)/(C147+R144)),"")</f>
        <v>0</v>
      </c>
      <c r="O147" s="1">
        <f>IF(C147,9.8*F145*LN((C147+Q145)/(C147+R145)),"")</f>
        <v>0</v>
      </c>
      <c r="P147" s="15">
        <f>IF(C147,SUM(K147:O147),"")</f>
        <v>10009.021827865567</v>
      </c>
      <c r="Q147" s="1"/>
      <c r="R147" s="1"/>
      <c r="S147" s="1"/>
      <c r="T147" s="32" t="str">
        <f>IF(OR(F147&lt;1,AND(F147="",G147&lt;1)),"起飞推重比不得小于0，空天飞机除外","")</f>
        <v/>
      </c>
      <c r="U147" s="1"/>
      <c r="V147" s="1"/>
    </row>
    <row r="148" spans="1:22">
      <c r="A148" s="33" t="s">
        <v>45</v>
      </c>
      <c r="B148" s="27" t="s">
        <v>31</v>
      </c>
      <c r="C148" s="9">
        <v>7</v>
      </c>
      <c r="D148" s="1">
        <f>IF(C148,C148+Q141,"")</f>
        <v>712</v>
      </c>
      <c r="E148" s="72">
        <f t="shared" ref="E148:E150" si="44">IF(C148,C148/D148,"")</f>
        <v>9.8314606741573031E-3</v>
      </c>
      <c r="F148" s="14" t="str">
        <f>IF(AND(C148&lt;&gt;"",N139&lt;&gt;""),(M141/F141*E139+M142/F142*D139)/(C148+Q141),"")</f>
        <v/>
      </c>
      <c r="G148" s="1">
        <f>IF(C148,IF(AND(F141&lt;&gt;0,C139&lt;&gt;0),M142,M142/F142*D139)/(C148+Q142),"")</f>
        <v>1.2536483611462004</v>
      </c>
      <c r="H148" s="1">
        <f>IF(C148,(M143)/(C148+Q143),"")</f>
        <v>0.86728395061728392</v>
      </c>
      <c r="I148" s="1">
        <f>IF(C148,(M144)/(C148+Q144),"")</f>
        <v>0</v>
      </c>
      <c r="J148" s="1">
        <f>IF(C148,(M145)/(C148+Q145),"")</f>
        <v>0</v>
      </c>
      <c r="K148" s="14" t="str">
        <f>IF(AND(C148&lt;&gt;"",N139&lt;&gt;""),9.8*N139*LN((C148+Q141)/(C148+R141)),"")</f>
        <v/>
      </c>
      <c r="L148" s="1">
        <f>IF(C148,9.8*F142*LN((C148+Q142)/(C148+R142)),"")</f>
        <v>4266.5428314633982</v>
      </c>
      <c r="M148" s="1">
        <f>IF(C148,9.8*F143*LN((C148+Q143)/(C148+R143)),"")</f>
        <v>7818.4466255275775</v>
      </c>
      <c r="N148" s="1">
        <f>IF(C148,9.8*F144*LN((C148+Q144)/(C148+R144)),"")</f>
        <v>0</v>
      </c>
      <c r="O148" s="1">
        <f>IF(C148,9.8*F145*LN((C148+Q145)/(C148+R145)),"")</f>
        <v>0</v>
      </c>
      <c r="P148" s="15">
        <f>IF(C148,SUM(K148:O148),"")</f>
        <v>12084.989456990976</v>
      </c>
      <c r="Q148" s="1"/>
      <c r="R148" s="1"/>
      <c r="S148" s="1"/>
      <c r="T148" s="32" t="str">
        <f t="shared" ref="T148:T150" si="45">IF(OR(F148&lt;1,AND(F148="",G148&lt;1)),"起飞推重比不得小于0，空天飞机除外","")</f>
        <v/>
      </c>
      <c r="U148" s="1"/>
      <c r="V148" s="1"/>
    </row>
    <row r="149" spans="1:22">
      <c r="A149" s="40"/>
      <c r="B149" s="27" t="s">
        <v>32</v>
      </c>
      <c r="C149" s="9"/>
      <c r="D149" s="1" t="str">
        <f>IF(C149,C149+Q141,"")</f>
        <v/>
      </c>
      <c r="E149" s="72" t="str">
        <f t="shared" si="44"/>
        <v/>
      </c>
      <c r="F149" s="14" t="str">
        <f>IF(AND(C149&lt;&gt;"",N139&lt;&gt;""),(M141/F141*E139+M142/F142*D139)/(C149+Q141),"")</f>
        <v/>
      </c>
      <c r="G149" s="1" t="str">
        <f>IF(C149,IF(AND(F141&lt;&gt;0,C139&lt;&gt;0),M142,M142/F142*D139)/(C149+Q142),"")</f>
        <v/>
      </c>
      <c r="H149" s="1" t="str">
        <f>IF(C149,(M143)/(C149+Q143),"")</f>
        <v/>
      </c>
      <c r="I149" s="1" t="str">
        <f>IF(C149,(M144)/(C149+Q144),"")</f>
        <v/>
      </c>
      <c r="J149" s="1" t="str">
        <f>IF(C149,(M145)/(C149+Q145),"")</f>
        <v/>
      </c>
      <c r="K149" s="14" t="str">
        <f>IF(AND(C149&lt;&gt;"",N139&lt;&gt;""),9.8*N139*LN((C149+Q141)/(C149+R141)),"")</f>
        <v/>
      </c>
      <c r="L149" s="1" t="str">
        <f>IF(C149,9.8*F142*LN((C149+Q142)/(C149+R142)),"")</f>
        <v/>
      </c>
      <c r="M149" s="1" t="str">
        <f>IF(C149,9.8*F143*LN((C149+Q143)/(C149+R143)),"")</f>
        <v/>
      </c>
      <c r="N149" s="1" t="str">
        <f>IF(C149,9.8*F144*LN((C149+Q144)/(C149+R144)),"")</f>
        <v/>
      </c>
      <c r="O149" s="1" t="str">
        <f>IF(C149,9.8*F145*LN((C149+Q145)/(C149+R145)),"")</f>
        <v/>
      </c>
      <c r="P149" s="15" t="str">
        <f>IF(C149,SUM(K149:O149),"")</f>
        <v/>
      </c>
      <c r="Q149" s="1"/>
      <c r="R149" s="1"/>
      <c r="S149" s="1"/>
      <c r="T149" s="32" t="str">
        <f t="shared" si="45"/>
        <v/>
      </c>
      <c r="U149" s="1"/>
      <c r="V149" s="1"/>
    </row>
    <row r="150" spans="1:22" ht="15" thickBot="1">
      <c r="A150" s="47"/>
      <c r="B150" s="28" t="s">
        <v>5</v>
      </c>
      <c r="C150" s="10"/>
      <c r="D150" s="1" t="str">
        <f>IF(C150,C150+Q141,"")</f>
        <v/>
      </c>
      <c r="E150" s="72" t="str">
        <f t="shared" si="44"/>
        <v/>
      </c>
      <c r="F150" s="14" t="str">
        <f>IF(AND(C150&lt;&gt;"",N139&lt;&gt;""),(M141/F141*E139+M142/F142*D139)/(C150+Q141),"")</f>
        <v/>
      </c>
      <c r="G150" s="1" t="str">
        <f>IF(C150,IF(AND(F141&lt;&gt;0,C139&lt;&gt;0),M142,M142/F142*D139)/(C150+Q142),"")</f>
        <v/>
      </c>
      <c r="H150" s="1" t="str">
        <f>IF(C150,(M143)/(C150+Q143),"")</f>
        <v/>
      </c>
      <c r="I150" s="1" t="str">
        <f>IF(C150,(M144)/(C150+Q144),"")</f>
        <v/>
      </c>
      <c r="J150" s="1" t="str">
        <f>IF(C150,(M145)/(C150+Q145),"")</f>
        <v/>
      </c>
      <c r="K150" s="14" t="str">
        <f>IF(AND(C150&lt;&gt;"",N139&lt;&gt;""),9.8*N139*LN((C150+Q141)/(C150+R141)),"")</f>
        <v/>
      </c>
      <c r="L150" s="1" t="str">
        <f>IF(C150,9.8*F142*LN((C150+Q142)/(C150+R142)),"")</f>
        <v/>
      </c>
      <c r="M150" s="1" t="str">
        <f>IF(C150,9.8*F143*LN((C150+Q143)/(C150+R143)),"")</f>
        <v/>
      </c>
      <c r="N150" s="1" t="str">
        <f>IF(C150,9.8*F144*LN((C150+Q144)/(C150+R144)),"")</f>
        <v/>
      </c>
      <c r="O150" s="1" t="str">
        <f>IF(C150,9.8*F145*LN((C150+Q145)/(C150+R145)),"")</f>
        <v/>
      </c>
      <c r="P150" s="15" t="str">
        <f>IF(C150,SUM(K150:O150),"")</f>
        <v/>
      </c>
      <c r="Q150" s="17"/>
      <c r="R150" s="17"/>
      <c r="S150" s="17"/>
      <c r="T150" s="32" t="str">
        <f t="shared" si="45"/>
        <v/>
      </c>
      <c r="U150" s="1"/>
      <c r="V150" s="1"/>
    </row>
    <row r="151" spans="1:22" ht="15" thickBot="1">
      <c r="A151" s="33" t="s">
        <v>45</v>
      </c>
      <c r="B151" s="26" t="s">
        <v>37</v>
      </c>
      <c r="C151" s="1" t="s">
        <v>54</v>
      </c>
      <c r="D151" s="12" t="s">
        <v>28</v>
      </c>
      <c r="E151" s="12" t="s">
        <v>266</v>
      </c>
      <c r="F151" s="11" t="s">
        <v>40</v>
      </c>
      <c r="G151" s="12" t="s">
        <v>29</v>
      </c>
      <c r="H151" s="12" t="s">
        <v>23</v>
      </c>
      <c r="I151" s="12" t="s">
        <v>24</v>
      </c>
      <c r="J151" s="12" t="s">
        <v>25</v>
      </c>
      <c r="K151" s="11" t="s">
        <v>19</v>
      </c>
      <c r="L151" s="12" t="s">
        <v>26</v>
      </c>
      <c r="M151" s="12" t="s">
        <v>20</v>
      </c>
      <c r="N151" s="12" t="s">
        <v>21</v>
      </c>
      <c r="O151" s="12" t="s">
        <v>22</v>
      </c>
      <c r="P151" s="13" t="s">
        <v>27</v>
      </c>
      <c r="Q151" s="94" t="s">
        <v>42</v>
      </c>
      <c r="R151" s="85"/>
      <c r="S151" s="85"/>
      <c r="T151" s="12" t="s">
        <v>51</v>
      </c>
      <c r="U151" s="37" t="s">
        <v>45</v>
      </c>
      <c r="V151" s="38" t="s">
        <v>48</v>
      </c>
    </row>
    <row r="152" spans="1:22">
      <c r="A152" s="40"/>
      <c r="B152" s="27" t="s">
        <v>30</v>
      </c>
      <c r="C152" s="8">
        <v>15</v>
      </c>
      <c r="D152" s="1">
        <f>IF(C152,C152+Q141,"")</f>
        <v>720</v>
      </c>
      <c r="E152" s="72">
        <f>IF(C152,C152/D152,"")</f>
        <v>2.0833333333333332E-2</v>
      </c>
      <c r="F152" s="14" t="str">
        <f>IF(AND(C152&lt;&gt;"",N139&lt;&gt;""),(M141/F141*E139+M142/F142*D139)/(C152+U141),"")</f>
        <v/>
      </c>
      <c r="G152" s="1">
        <f>IF(C152,IF(AND(F141&lt;&gt;0,C139&lt;&gt;0),M142,M142/F142*D139)/(C152+U142),"")</f>
        <v>1.2397189349112425</v>
      </c>
      <c r="H152" s="1">
        <f>IF(C152,(M143)/(C152+U143),"")</f>
        <v>0.82647058823529407</v>
      </c>
      <c r="I152" s="1">
        <f>IF(C152,(M144)/(C152+U144),"")</f>
        <v>0</v>
      </c>
      <c r="J152" s="1">
        <f>IF(C152,(M145)/(C152+U145),"")</f>
        <v>0</v>
      </c>
      <c r="K152" s="14" t="str">
        <f>IF(AND(C152&lt;&gt;"",N139&lt;&gt;""),9.8*N139*LN((C152+U141)/(C152+V141)),"")</f>
        <v/>
      </c>
      <c r="L152" s="1">
        <f>IF(C152,9.8*F142*LN((C152+U142)/(C152+V142)),"")</f>
        <v>3412.7548879184787</v>
      </c>
      <c r="M152" s="1">
        <f>IF(C152,9.8*F143*LN((C152+U143)/(C152+V143)),"")</f>
        <v>6637.0988964190119</v>
      </c>
      <c r="N152" s="1">
        <f>IF(C152,9.8*F144*LN((C152+U144)/(C152+V144)),"")</f>
        <v>0</v>
      </c>
      <c r="O152" s="1">
        <f>IF(C152,9.8*F145*LN((C152+U145)/(C152+V145)),"")</f>
        <v>0</v>
      </c>
      <c r="P152" s="15">
        <f>IF(C152,SUM(K152:O152),"")</f>
        <v>10049.853784337491</v>
      </c>
      <c r="Q152" s="1"/>
      <c r="R152" s="1"/>
      <c r="S152" s="1"/>
      <c r="T152" s="32" t="str">
        <f>IF(OR(F152&lt;1,AND(F152="",G152&lt;1)),"起飞推重比不得小于0，空天飞机除外","")</f>
        <v/>
      </c>
      <c r="U152" s="1"/>
      <c r="V152" s="1"/>
    </row>
    <row r="153" spans="1:22">
      <c r="A153" s="47"/>
      <c r="B153" s="27" t="s">
        <v>31</v>
      </c>
      <c r="C153" s="9">
        <v>3.5</v>
      </c>
      <c r="D153" s="1">
        <f>IF(C153,C153+Q141,"")</f>
        <v>708.5</v>
      </c>
      <c r="E153" s="72">
        <f t="shared" ref="E153:E155" si="46">IF(C153,C153/D153,"")</f>
        <v>4.9400141143260412E-3</v>
      </c>
      <c r="F153" s="14" t="str">
        <f>IF(AND(C153&lt;&gt;"",N139&lt;&gt;""),(M141/F141*E139+M142/F142*D139)/(C153+U141),"")</f>
        <v/>
      </c>
      <c r="G153" s="1">
        <f>IF(C153,IF(AND(F141&lt;&gt;0,C139&lt;&gt;0),M142,M142/F142*D139)/(C153+U142),"")</f>
        <v>1.2598414017446642</v>
      </c>
      <c r="H153" s="1">
        <f>IF(C153,(M143)/(C153+U143),"")</f>
        <v>0.88643533123028395</v>
      </c>
      <c r="I153" s="1">
        <f>IF(C153,(M144)/(C153+U144),"")</f>
        <v>0</v>
      </c>
      <c r="J153" s="1">
        <f>IF(C153,(M145)/(C153+U145),"")</f>
        <v>0</v>
      </c>
      <c r="K153" s="14" t="str">
        <f>IF(AND(C153&lt;&gt;"",N139&lt;&gt;""),9.8*N139*LN((C153+U141)/(C153+V141)),"")</f>
        <v/>
      </c>
      <c r="L153" s="1">
        <f>IF(C153,9.8*F142*LN((C153+U142)/(C153+V142)),"")</f>
        <v>3511.0791141938275</v>
      </c>
      <c r="M153" s="1">
        <f>IF(C153,9.8*F143*LN((C153+U143)/(C153+V143)),"")</f>
        <v>8553.0117293223975</v>
      </c>
      <c r="N153" s="1">
        <f>IF(C153,9.8*F144*LN((C153+U144)/(C153+V144)),"")</f>
        <v>0</v>
      </c>
      <c r="O153" s="1">
        <f>IF(C153,9.8*F145*LN((C153+U145)/(C153+V145)),"")</f>
        <v>0</v>
      </c>
      <c r="P153" s="15">
        <f>IF(C153,SUM(K153:O153),"")</f>
        <v>12064.090843516226</v>
      </c>
      <c r="Q153" s="1"/>
      <c r="R153" s="1"/>
      <c r="S153" s="1"/>
      <c r="T153" s="32" t="str">
        <f t="shared" ref="T153:T155" si="47">IF(OR(F153&lt;1,AND(F153="",G153&lt;1)),"起飞推重比不得小于0，空天飞机除外","")</f>
        <v/>
      </c>
      <c r="U153" s="1"/>
      <c r="V153" s="1"/>
    </row>
    <row r="154" spans="1:22">
      <c r="A154" s="47"/>
      <c r="B154" s="27" t="s">
        <v>32</v>
      </c>
      <c r="C154" s="9"/>
      <c r="D154" s="1" t="str">
        <f>IF(C154,C154+Q141,"")</f>
        <v/>
      </c>
      <c r="E154" s="72" t="str">
        <f t="shared" si="46"/>
        <v/>
      </c>
      <c r="F154" s="14" t="str">
        <f>IF(AND(C154&lt;&gt;"",N139&lt;&gt;""),(M141/F141*E139+M142/F142*D139)/(C154+U141),"")</f>
        <v/>
      </c>
      <c r="G154" s="1" t="str">
        <f>IF(C154,IF(AND(F141&lt;&gt;0,C139&lt;&gt;0),M142,M142/F142*D139)/(C154+U142),"")</f>
        <v/>
      </c>
      <c r="H154" s="1" t="str">
        <f>IF(C154,(M143)/(C154+U143),"")</f>
        <v/>
      </c>
      <c r="I154" s="1" t="str">
        <f>IF(C154,(M144)/(C154+U144),"")</f>
        <v/>
      </c>
      <c r="J154" s="1" t="str">
        <f>IF(C154,(M145)/(C154+U145),"")</f>
        <v/>
      </c>
      <c r="K154" s="14" t="str">
        <f>IF(AND(C154&lt;&gt;"",N139&lt;&gt;""),9.8*N139*LN((C154+U141)/(C154+V141)),"")</f>
        <v/>
      </c>
      <c r="L154" s="1" t="str">
        <f>IF(C154,9.8*F142*LN((C154+U142)/(C154+V142)),"")</f>
        <v/>
      </c>
      <c r="M154" s="1" t="str">
        <f>IF(C154,9.8*F143*LN((C154+U143)/(C154+V143)),"")</f>
        <v/>
      </c>
      <c r="N154" s="1" t="str">
        <f>IF(C154,9.8*F144*LN((C154+U144)/(C154+V144)),"")</f>
        <v/>
      </c>
      <c r="O154" s="1" t="str">
        <f>IF(C154,9.8*F145*LN((C154+U145)/(C154+V145)),"")</f>
        <v/>
      </c>
      <c r="P154" s="15" t="str">
        <f>IF(C154,SUM(K154:O154),"")</f>
        <v/>
      </c>
      <c r="Q154" s="1"/>
      <c r="R154" s="1"/>
      <c r="S154" s="1"/>
      <c r="T154" s="32" t="str">
        <f t="shared" si="47"/>
        <v/>
      </c>
      <c r="U154" s="1"/>
      <c r="V154" s="1"/>
    </row>
    <row r="155" spans="1:22" ht="15" thickBot="1">
      <c r="A155" s="48" t="s">
        <v>45</v>
      </c>
      <c r="B155" s="49" t="s">
        <v>5</v>
      </c>
      <c r="C155" s="50"/>
      <c r="D155" s="25" t="str">
        <f>IF(C155,C155+Q141,"")</f>
        <v/>
      </c>
      <c r="E155" s="73" t="str">
        <f t="shared" si="46"/>
        <v/>
      </c>
      <c r="F155" s="70" t="str">
        <f>IF(AND(C155&lt;&gt;"",N139&lt;&gt;""),(M141/F141*E139+M142/F142*D139)/(C155+U141),"")</f>
        <v/>
      </c>
      <c r="G155" s="25" t="str">
        <f>IF(C155,IF(AND(F141&lt;&gt;0,C139&lt;&gt;0),M142,M142/F142*D139)/(C155+U142),"")</f>
        <v/>
      </c>
      <c r="H155" s="25" t="str">
        <f>IF(C155,(M143)/(C155+U143),"")</f>
        <v/>
      </c>
      <c r="I155" s="25" t="str">
        <f>IF(C155,(M144)/(C155+U144),"")</f>
        <v/>
      </c>
      <c r="J155" s="25" t="str">
        <f>IF(C155,(M145)/(C155+U145),"")</f>
        <v/>
      </c>
      <c r="K155" s="70" t="str">
        <f>IF(AND(C155&lt;&gt;"",N139&lt;&gt;""),9.8*N139*LN((C155+U141)/(C155+V141)),"")</f>
        <v/>
      </c>
      <c r="L155" s="25" t="str">
        <f>IF(C155,9.8*F142*LN((C155+U142)/(C155+V142)),"")</f>
        <v/>
      </c>
      <c r="M155" s="25" t="str">
        <f>IF(C155,9.8*F143*LN((C155+U143)/(C155+V143)),"")</f>
        <v/>
      </c>
      <c r="N155" s="25" t="str">
        <f>IF(C155,9.8*F144*LN((C155+U144)/(C155+V144)),"")</f>
        <v/>
      </c>
      <c r="O155" s="25" t="str">
        <f>IF(C155,9.8*F145*LN((C155+U145)/(C155+V145)),"")</f>
        <v/>
      </c>
      <c r="P155" s="71" t="str">
        <f>IF(C155,SUM(K155:O155),"")</f>
        <v/>
      </c>
      <c r="Q155" s="25"/>
      <c r="R155" s="25"/>
      <c r="S155" s="25"/>
      <c r="T155" s="51" t="str">
        <f t="shared" si="47"/>
        <v/>
      </c>
      <c r="U155" s="25"/>
      <c r="V155" s="25"/>
    </row>
  </sheetData>
  <mergeCells count="67">
    <mergeCell ref="Q13:S13"/>
    <mergeCell ref="Q18:S18"/>
    <mergeCell ref="M5:O5"/>
    <mergeCell ref="P6:R6"/>
    <mergeCell ref="S6:V6"/>
    <mergeCell ref="D24:E24"/>
    <mergeCell ref="I24:K24"/>
    <mergeCell ref="M24:O24"/>
    <mergeCell ref="S44:V44"/>
    <mergeCell ref="D62:E62"/>
    <mergeCell ref="I62:K62"/>
    <mergeCell ref="M62:O62"/>
    <mergeCell ref="P44:R44"/>
    <mergeCell ref="Q51:S51"/>
    <mergeCell ref="Q56:S56"/>
    <mergeCell ref="S25:V25"/>
    <mergeCell ref="P25:R25"/>
    <mergeCell ref="S63:V63"/>
    <mergeCell ref="D81:E81"/>
    <mergeCell ref="I81:K81"/>
    <mergeCell ref="M81:O81"/>
    <mergeCell ref="Q70:S70"/>
    <mergeCell ref="Q75:S75"/>
    <mergeCell ref="S82:V82"/>
    <mergeCell ref="D100:E100"/>
    <mergeCell ref="I100:K100"/>
    <mergeCell ref="M100:O100"/>
    <mergeCell ref="Q89:S89"/>
    <mergeCell ref="Q94:S94"/>
    <mergeCell ref="S101:V101"/>
    <mergeCell ref="D119:E119"/>
    <mergeCell ref="I119:K119"/>
    <mergeCell ref="M119:O119"/>
    <mergeCell ref="Q108:S108"/>
    <mergeCell ref="Q113:S113"/>
    <mergeCell ref="Q146:S146"/>
    <mergeCell ref="Q151:S151"/>
    <mergeCell ref="D138:E138"/>
    <mergeCell ref="I138:K138"/>
    <mergeCell ref="M138:O138"/>
    <mergeCell ref="S139:V139"/>
    <mergeCell ref="P139:R139"/>
    <mergeCell ref="P120:R120"/>
    <mergeCell ref="S120:V120"/>
    <mergeCell ref="Q127:S127"/>
    <mergeCell ref="Q132:S132"/>
    <mergeCell ref="B3:C3"/>
    <mergeCell ref="D3:E3"/>
    <mergeCell ref="F3:G3"/>
    <mergeCell ref="H3:I3"/>
    <mergeCell ref="P101:R101"/>
    <mergeCell ref="P82:R82"/>
    <mergeCell ref="P63:R63"/>
    <mergeCell ref="D43:E43"/>
    <mergeCell ref="I43:K43"/>
    <mergeCell ref="M43:O43"/>
    <mergeCell ref="Q32:S32"/>
    <mergeCell ref="Q37:S37"/>
    <mergeCell ref="D5:E5"/>
    <mergeCell ref="I5:K5"/>
    <mergeCell ref="T3:U3"/>
    <mergeCell ref="V3:W3"/>
    <mergeCell ref="J3:K3"/>
    <mergeCell ref="L3:M3"/>
    <mergeCell ref="N3:O3"/>
    <mergeCell ref="P3:Q3"/>
    <mergeCell ref="R3:S3"/>
  </mergeCells>
  <phoneticPr fontId="1" type="noConversion"/>
  <conditionalFormatting sqref="Q8:R8">
    <cfRule type="expression" dxfId="1181" priority="136">
      <formula>Q8=0</formula>
    </cfRule>
  </conditionalFormatting>
  <conditionalFormatting sqref="P9">
    <cfRule type="expression" dxfId="1180" priority="217">
      <formula>P9&lt;P8</formula>
    </cfRule>
  </conditionalFormatting>
  <conditionalFormatting sqref="T9">
    <cfRule type="expression" dxfId="1179" priority="216">
      <formula>T9&lt;T8</formula>
    </cfRule>
  </conditionalFormatting>
  <conditionalFormatting sqref="L9:V12 D14:D17 D19:D22 L8:P8 S8:T8">
    <cfRule type="expression" dxfId="1178" priority="215">
      <formula>ROUND(D8,3)&lt;&gt;D8</formula>
    </cfRule>
  </conditionalFormatting>
  <conditionalFormatting sqref="L9:V12 D14:D17 D19:D22 L8:P8 S8:T8">
    <cfRule type="expression" dxfId="1177" priority="213">
      <formula>D8=0</formula>
    </cfRule>
  </conditionalFormatting>
  <conditionalFormatting sqref="P28">
    <cfRule type="expression" dxfId="1176" priority="207">
      <formula>P28&lt;P27</formula>
    </cfRule>
  </conditionalFormatting>
  <conditionalFormatting sqref="T28">
    <cfRule type="expression" dxfId="1175" priority="206">
      <formula>T28&lt;T27</formula>
    </cfRule>
  </conditionalFormatting>
  <conditionalFormatting sqref="L28:V31 D33:D36 D38:D41 L27:P27 S27:T27">
    <cfRule type="expression" dxfId="1174" priority="205">
      <formula>ROUND(D27,3)&lt;&gt;D27</formula>
    </cfRule>
  </conditionalFormatting>
  <conditionalFormatting sqref="L28:V31 D33:D36 D38:D41 L27:P27 S27:T27">
    <cfRule type="expression" dxfId="1173" priority="203">
      <formula>D27=0</formula>
    </cfRule>
  </conditionalFormatting>
  <conditionalFormatting sqref="P47">
    <cfRule type="expression" dxfId="1172" priority="197">
      <formula>P47&lt;P46</formula>
    </cfRule>
  </conditionalFormatting>
  <conditionalFormatting sqref="T47">
    <cfRule type="expression" dxfId="1171" priority="196">
      <formula>T47&lt;T46</formula>
    </cfRule>
  </conditionalFormatting>
  <conditionalFormatting sqref="L47:V50 D52:D55 D57:D60 L46:P46 S46:T46">
    <cfRule type="expression" dxfId="1170" priority="195">
      <formula>ROUND(D46,3)&lt;&gt;D46</formula>
    </cfRule>
  </conditionalFormatting>
  <conditionalFormatting sqref="L47:V50 D52:D55 D57:D60 L46:P46 S46:T46">
    <cfRule type="expression" dxfId="1169" priority="193">
      <formula>D46=0</formula>
    </cfRule>
  </conditionalFormatting>
  <conditionalFormatting sqref="P66">
    <cfRule type="expression" dxfId="1168" priority="187">
      <formula>P66&lt;P65</formula>
    </cfRule>
  </conditionalFormatting>
  <conditionalFormatting sqref="T66">
    <cfRule type="expression" dxfId="1167" priority="186">
      <formula>T66&lt;T65</formula>
    </cfRule>
  </conditionalFormatting>
  <conditionalFormatting sqref="L66:V69 D71:D74 D76:D79 L65:P65 S65:T65">
    <cfRule type="expression" dxfId="1166" priority="185">
      <formula>ROUND(D65,3)&lt;&gt;D65</formula>
    </cfRule>
  </conditionalFormatting>
  <conditionalFormatting sqref="L66:V69 D71:D74 D76:D79 L65:P65 S65:T65">
    <cfRule type="expression" dxfId="1165" priority="183">
      <formula>D65=0</formula>
    </cfRule>
  </conditionalFormatting>
  <conditionalFormatting sqref="P85">
    <cfRule type="expression" dxfId="1164" priority="177">
      <formula>P85&lt;P84</formula>
    </cfRule>
  </conditionalFormatting>
  <conditionalFormatting sqref="T85">
    <cfRule type="expression" dxfId="1163" priority="176">
      <formula>T85&lt;T84</formula>
    </cfRule>
  </conditionalFormatting>
  <conditionalFormatting sqref="L85:V88 D90:D93 D95:D98 L84:P84 S84:T84">
    <cfRule type="expression" dxfId="1162" priority="175">
      <formula>ROUND(D84,3)&lt;&gt;D84</formula>
    </cfRule>
  </conditionalFormatting>
  <conditionalFormatting sqref="L85:V88 D90:D93 D95:D98 L84:P84 S84:T84">
    <cfRule type="expression" dxfId="1161" priority="173">
      <formula>D84=0</formula>
    </cfRule>
  </conditionalFormatting>
  <conditionalFormatting sqref="P104">
    <cfRule type="expression" dxfId="1160" priority="167">
      <formula>P104&lt;P103</formula>
    </cfRule>
  </conditionalFormatting>
  <conditionalFormatting sqref="T104">
    <cfRule type="expression" dxfId="1159" priority="166">
      <formula>T104&lt;T103</formula>
    </cfRule>
  </conditionalFormatting>
  <conditionalFormatting sqref="L104:V107 D109:D112 D114:D117 L103:P103 S103:T103">
    <cfRule type="expression" dxfId="1158" priority="165">
      <formula>ROUND(D103,3)&lt;&gt;D103</formula>
    </cfRule>
  </conditionalFormatting>
  <conditionalFormatting sqref="L104:V107 D109:D112 D114:D117 L103:P103 S103:T103">
    <cfRule type="expression" dxfId="1157" priority="163">
      <formula>D103=0</formula>
    </cfRule>
  </conditionalFormatting>
  <conditionalFormatting sqref="P123">
    <cfRule type="expression" dxfId="1156" priority="157">
      <formula>P123&lt;P122</formula>
    </cfRule>
  </conditionalFormatting>
  <conditionalFormatting sqref="T123">
    <cfRule type="expression" dxfId="1155" priority="156">
      <formula>T123&lt;T122</formula>
    </cfRule>
  </conditionalFormatting>
  <conditionalFormatting sqref="L123:V126 D128:D131 D133:D136 L122:P122 S122:T122">
    <cfRule type="expression" dxfId="1154" priority="155">
      <formula>ROUND(D122,3)&lt;&gt;D122</formula>
    </cfRule>
  </conditionalFormatting>
  <conditionalFormatting sqref="L123:V126 D128:D131 D133:D136 L122:P122 S122:T122">
    <cfRule type="expression" dxfId="1153" priority="153">
      <formula>D122=0</formula>
    </cfRule>
  </conditionalFormatting>
  <conditionalFormatting sqref="P142">
    <cfRule type="expression" dxfId="1152" priority="147">
      <formula>P142&lt;P141</formula>
    </cfRule>
  </conditionalFormatting>
  <conditionalFormatting sqref="T142">
    <cfRule type="expression" dxfId="1151" priority="146">
      <formula>T142&lt;T141</formula>
    </cfRule>
  </conditionalFormatting>
  <conditionalFormatting sqref="L142:V145 D147:D150 D152:D155 L141:P141 S141:T141">
    <cfRule type="expression" dxfId="1150" priority="145">
      <formula>ROUND(D141,3)&lt;&gt;D141</formula>
    </cfRule>
  </conditionalFormatting>
  <conditionalFormatting sqref="L142:V145 D147:D150 D152:D155 L141:P141 S141:T141">
    <cfRule type="expression" dxfId="1149" priority="143">
      <formula>D141=0</formula>
    </cfRule>
  </conditionalFormatting>
  <conditionalFormatting sqref="Q8:R8">
    <cfRule type="expression" dxfId="1148" priority="137">
      <formula>ROUND(Q8,3)&lt;&gt;Q8</formula>
    </cfRule>
  </conditionalFormatting>
  <conditionalFormatting sqref="Q8">
    <cfRule type="expression" dxfId="1147" priority="135">
      <formula>NOT(AND(F8&lt;&gt;0,C6&lt;&gt;0))</formula>
    </cfRule>
  </conditionalFormatting>
  <conditionalFormatting sqref="R8">
    <cfRule type="expression" dxfId="1146" priority="134">
      <formula>NOT(AND(F8&lt;&gt;0,C6&lt;&gt;0))</formula>
    </cfRule>
  </conditionalFormatting>
  <conditionalFormatting sqref="Q27:R27">
    <cfRule type="expression" dxfId="1145" priority="133">
      <formula>ROUND(Q27,3)&lt;&gt;Q27</formula>
    </cfRule>
  </conditionalFormatting>
  <conditionalFormatting sqref="Q27:R27">
    <cfRule type="expression" dxfId="1144" priority="132">
      <formula>Q27=0</formula>
    </cfRule>
  </conditionalFormatting>
  <conditionalFormatting sqref="Q27">
    <cfRule type="expression" dxfId="1143" priority="131">
      <formula>NOT(AND(F27&lt;&gt;0,C25&lt;&gt;0))</formula>
    </cfRule>
  </conditionalFormatting>
  <conditionalFormatting sqref="R27">
    <cfRule type="expression" dxfId="1142" priority="130">
      <formula>NOT(AND(F27&lt;&gt;0,C25&lt;&gt;0))</formula>
    </cfRule>
  </conditionalFormatting>
  <conditionalFormatting sqref="Q46:R46">
    <cfRule type="expression" dxfId="1141" priority="129">
      <formula>ROUND(Q46,3)&lt;&gt;Q46</formula>
    </cfRule>
  </conditionalFormatting>
  <conditionalFormatting sqref="Q46:R46">
    <cfRule type="expression" dxfId="1140" priority="128">
      <formula>Q46=0</formula>
    </cfRule>
  </conditionalFormatting>
  <conditionalFormatting sqref="Q46">
    <cfRule type="expression" dxfId="1139" priority="127">
      <formula>NOT(AND(F46&lt;&gt;0,C44&lt;&gt;0))</formula>
    </cfRule>
  </conditionalFormatting>
  <conditionalFormatting sqref="R46">
    <cfRule type="expression" dxfId="1138" priority="126">
      <formula>NOT(AND(F46&lt;&gt;0,C44&lt;&gt;0))</formula>
    </cfRule>
  </conditionalFormatting>
  <conditionalFormatting sqref="Q65:R65">
    <cfRule type="expression" dxfId="1137" priority="125">
      <formula>ROUND(Q65,3)&lt;&gt;Q65</formula>
    </cfRule>
  </conditionalFormatting>
  <conditionalFormatting sqref="Q65:R65">
    <cfRule type="expression" dxfId="1136" priority="124">
      <formula>Q65=0</formula>
    </cfRule>
  </conditionalFormatting>
  <conditionalFormatting sqref="Q65">
    <cfRule type="expression" dxfId="1135" priority="123">
      <formula>NOT(AND(F65&lt;&gt;0,C63&lt;&gt;0))</formula>
    </cfRule>
  </conditionalFormatting>
  <conditionalFormatting sqref="R65">
    <cfRule type="expression" dxfId="1134" priority="122">
      <formula>NOT(AND(F65&lt;&gt;0,C63&lt;&gt;0))</formula>
    </cfRule>
  </conditionalFormatting>
  <conditionalFormatting sqref="Q84:R84">
    <cfRule type="expression" dxfId="1133" priority="121">
      <formula>ROUND(Q84,3)&lt;&gt;Q84</formula>
    </cfRule>
  </conditionalFormatting>
  <conditionalFormatting sqref="Q84:R84">
    <cfRule type="expression" dxfId="1132" priority="120">
      <formula>Q84=0</formula>
    </cfRule>
  </conditionalFormatting>
  <conditionalFormatting sqref="Q84">
    <cfRule type="expression" dxfId="1131" priority="119">
      <formula>NOT(AND(F84&lt;&gt;0,C82&lt;&gt;0))</formula>
    </cfRule>
  </conditionalFormatting>
  <conditionalFormatting sqref="R84">
    <cfRule type="expression" dxfId="1130" priority="118">
      <formula>NOT(AND(F84&lt;&gt;0,C82&lt;&gt;0))</formula>
    </cfRule>
  </conditionalFormatting>
  <conditionalFormatting sqref="Q103:R103">
    <cfRule type="expression" dxfId="1129" priority="117">
      <formula>ROUND(Q103,3)&lt;&gt;Q103</formula>
    </cfRule>
  </conditionalFormatting>
  <conditionalFormatting sqref="Q103:R103">
    <cfRule type="expression" dxfId="1128" priority="116">
      <formula>Q103=0</formula>
    </cfRule>
  </conditionalFormatting>
  <conditionalFormatting sqref="Q103">
    <cfRule type="expression" dxfId="1127" priority="115">
      <formula>NOT(AND(F103&lt;&gt;0,C101&lt;&gt;0))</formula>
    </cfRule>
  </conditionalFormatting>
  <conditionalFormatting sqref="R103">
    <cfRule type="expression" dxfId="1126" priority="114">
      <formula>NOT(AND(F103&lt;&gt;0,C101&lt;&gt;0))</formula>
    </cfRule>
  </conditionalFormatting>
  <conditionalFormatting sqref="Q122:R122">
    <cfRule type="expression" dxfId="1125" priority="113">
      <formula>ROUND(Q122,3)&lt;&gt;Q122</formula>
    </cfRule>
  </conditionalFormatting>
  <conditionalFormatting sqref="Q122:R122">
    <cfRule type="expression" dxfId="1124" priority="112">
      <formula>Q122=0</formula>
    </cfRule>
  </conditionalFormatting>
  <conditionalFormatting sqref="Q122">
    <cfRule type="expression" dxfId="1123" priority="111">
      <formula>NOT(AND(F122&lt;&gt;0,C120&lt;&gt;0))</formula>
    </cfRule>
  </conditionalFormatting>
  <conditionalFormatting sqref="R122">
    <cfRule type="expression" dxfId="1122" priority="110">
      <formula>NOT(AND(F122&lt;&gt;0,C120&lt;&gt;0))</formula>
    </cfRule>
  </conditionalFormatting>
  <conditionalFormatting sqref="Q141:R141">
    <cfRule type="expression" dxfId="1121" priority="109">
      <formula>ROUND(Q141,3)&lt;&gt;Q141</formula>
    </cfRule>
  </conditionalFormatting>
  <conditionalFormatting sqref="Q141:R141">
    <cfRule type="expression" dxfId="1120" priority="108">
      <formula>Q141=0</formula>
    </cfRule>
  </conditionalFormatting>
  <conditionalFormatting sqref="Q141">
    <cfRule type="expression" dxfId="1119" priority="107">
      <formula>NOT(AND(F141&lt;&gt;0,C139&lt;&gt;0))</formula>
    </cfRule>
  </conditionalFormatting>
  <conditionalFormatting sqref="R141">
    <cfRule type="expression" dxfId="1118" priority="106">
      <formula>NOT(AND(F141&lt;&gt;0,C139&lt;&gt;0))</formula>
    </cfRule>
  </conditionalFormatting>
  <conditionalFormatting sqref="U8:V8">
    <cfRule type="expression" dxfId="1117" priority="105">
      <formula>ROUND(U8,3)&lt;&gt;U8</formula>
    </cfRule>
  </conditionalFormatting>
  <conditionalFormatting sqref="U8:V8">
    <cfRule type="expression" dxfId="1116" priority="104">
      <formula>U8=0</formula>
    </cfRule>
  </conditionalFormatting>
  <conditionalFormatting sqref="U8">
    <cfRule type="expression" dxfId="1115" priority="103">
      <formula>NOT(AND(F8&lt;&gt;0,C6&lt;&gt;0))</formula>
    </cfRule>
  </conditionalFormatting>
  <conditionalFormatting sqref="V8">
    <cfRule type="expression" dxfId="1114" priority="102">
      <formula>NOT(AND(F8&lt;&gt;0,C6&lt;&gt;0))</formula>
    </cfRule>
  </conditionalFormatting>
  <conditionalFormatting sqref="U27:V27">
    <cfRule type="expression" dxfId="1113" priority="101">
      <formula>ROUND(U27,3)&lt;&gt;U27</formula>
    </cfRule>
  </conditionalFormatting>
  <conditionalFormatting sqref="U27:V27">
    <cfRule type="expression" dxfId="1112" priority="100">
      <formula>U27=0</formula>
    </cfRule>
  </conditionalFormatting>
  <conditionalFormatting sqref="U27">
    <cfRule type="expression" dxfId="1111" priority="99">
      <formula>NOT(AND(F27&lt;&gt;0,C25&lt;&gt;0))</formula>
    </cfRule>
  </conditionalFormatting>
  <conditionalFormatting sqref="V27">
    <cfRule type="expression" dxfId="1110" priority="98">
      <formula>NOT(AND(F27&lt;&gt;0,C25&lt;&gt;0))</formula>
    </cfRule>
  </conditionalFormatting>
  <conditionalFormatting sqref="U46:V46">
    <cfRule type="expression" dxfId="1109" priority="97">
      <formula>ROUND(U46,3)&lt;&gt;U46</formula>
    </cfRule>
  </conditionalFormatting>
  <conditionalFormatting sqref="U46:V46">
    <cfRule type="expression" dxfId="1108" priority="96">
      <formula>U46=0</formula>
    </cfRule>
  </conditionalFormatting>
  <conditionalFormatting sqref="U46">
    <cfRule type="expression" dxfId="1107" priority="95">
      <formula>NOT(AND(F46&lt;&gt;0,C44&lt;&gt;0))</formula>
    </cfRule>
  </conditionalFormatting>
  <conditionalFormatting sqref="V46">
    <cfRule type="expression" dxfId="1106" priority="94">
      <formula>NOT(AND(F46&lt;&gt;0,C44&lt;&gt;0))</formula>
    </cfRule>
  </conditionalFormatting>
  <conditionalFormatting sqref="U65:V65">
    <cfRule type="expression" dxfId="1105" priority="93">
      <formula>ROUND(U65,3)&lt;&gt;U65</formula>
    </cfRule>
  </conditionalFormatting>
  <conditionalFormatting sqref="U65:V65">
    <cfRule type="expression" dxfId="1104" priority="92">
      <formula>U65=0</formula>
    </cfRule>
  </conditionalFormatting>
  <conditionalFormatting sqref="U65">
    <cfRule type="expression" dxfId="1103" priority="91">
      <formula>NOT(AND(F65&lt;&gt;0,C63&lt;&gt;0))</formula>
    </cfRule>
  </conditionalFormatting>
  <conditionalFormatting sqref="V65">
    <cfRule type="expression" dxfId="1102" priority="90">
      <formula>NOT(AND(F65&lt;&gt;0,C63&lt;&gt;0))</formula>
    </cfRule>
  </conditionalFormatting>
  <conditionalFormatting sqref="U84:V84">
    <cfRule type="expression" dxfId="1101" priority="89">
      <formula>ROUND(U84,3)&lt;&gt;U84</formula>
    </cfRule>
  </conditionalFormatting>
  <conditionalFormatting sqref="U84:V84">
    <cfRule type="expression" dxfId="1100" priority="88">
      <formula>U84=0</formula>
    </cfRule>
  </conditionalFormatting>
  <conditionalFormatting sqref="U84">
    <cfRule type="expression" dxfId="1099" priority="87">
      <formula>NOT(AND(F84&lt;&gt;0,C82&lt;&gt;0))</formula>
    </cfRule>
  </conditionalFormatting>
  <conditionalFormatting sqref="V84">
    <cfRule type="expression" dxfId="1098" priority="86">
      <formula>NOT(AND(F84&lt;&gt;0,C82&lt;&gt;0))</formula>
    </cfRule>
  </conditionalFormatting>
  <conditionalFormatting sqref="U103:V103">
    <cfRule type="expression" dxfId="1097" priority="85">
      <formula>ROUND(U103,3)&lt;&gt;U103</formula>
    </cfRule>
  </conditionalFormatting>
  <conditionalFormatting sqref="U103:V103">
    <cfRule type="expression" dxfId="1096" priority="84">
      <formula>U103=0</formula>
    </cfRule>
  </conditionalFormatting>
  <conditionalFormatting sqref="U103">
    <cfRule type="expression" dxfId="1095" priority="83">
      <formula>NOT(AND(F103&lt;&gt;0,C101&lt;&gt;0))</formula>
    </cfRule>
  </conditionalFormatting>
  <conditionalFormatting sqref="V103">
    <cfRule type="expression" dxfId="1094" priority="82">
      <formula>NOT(AND(F103&lt;&gt;0,C101&lt;&gt;0))</formula>
    </cfRule>
  </conditionalFormatting>
  <conditionalFormatting sqref="U122:V122">
    <cfRule type="expression" dxfId="1093" priority="81">
      <formula>ROUND(U122,3)&lt;&gt;U122</formula>
    </cfRule>
  </conditionalFormatting>
  <conditionalFormatting sqref="U122:V122">
    <cfRule type="expression" dxfId="1092" priority="80">
      <formula>U122=0</formula>
    </cfRule>
  </conditionalFormatting>
  <conditionalFormatting sqref="U122">
    <cfRule type="expression" dxfId="1091" priority="79">
      <formula>NOT(AND(F122&lt;&gt;0,C120&lt;&gt;0))</formula>
    </cfRule>
  </conditionalFormatting>
  <conditionalFormatting sqref="V122">
    <cfRule type="expression" dxfId="1090" priority="78">
      <formula>NOT(AND(F122&lt;&gt;0,C120&lt;&gt;0))</formula>
    </cfRule>
  </conditionalFormatting>
  <conditionalFormatting sqref="U141:V141">
    <cfRule type="expression" dxfId="1089" priority="77">
      <formula>ROUND(U141,3)&lt;&gt;U141</formula>
    </cfRule>
  </conditionalFormatting>
  <conditionalFormatting sqref="U141:V141">
    <cfRule type="expression" dxfId="1088" priority="76">
      <formula>U141=0</formula>
    </cfRule>
  </conditionalFormatting>
  <conditionalFormatting sqref="U141">
    <cfRule type="expression" dxfId="1087" priority="75">
      <formula>NOT(AND(F141&lt;&gt;0,C139&lt;&gt;0))</formula>
    </cfRule>
  </conditionalFormatting>
  <conditionalFormatting sqref="V141">
    <cfRule type="expression" dxfId="1086" priority="74">
      <formula>NOT(AND(F141&lt;&gt;0,C139&lt;&gt;0))</formula>
    </cfRule>
  </conditionalFormatting>
  <conditionalFormatting sqref="L6">
    <cfRule type="expression" dxfId="1085" priority="72">
      <formula>ROUND(L6,3)&lt;&gt;L6</formula>
    </cfRule>
    <cfRule type="expression" dxfId="1084" priority="73">
      <formula>L6=0</formula>
    </cfRule>
  </conditionalFormatting>
  <conditionalFormatting sqref="L25">
    <cfRule type="expression" dxfId="1083" priority="70">
      <formula>ROUND(L25,3)&lt;&gt;L25</formula>
    </cfRule>
    <cfRule type="expression" dxfId="1082" priority="71">
      <formula>L25=0</formula>
    </cfRule>
  </conditionalFormatting>
  <conditionalFormatting sqref="L44">
    <cfRule type="expression" dxfId="1081" priority="68">
      <formula>ROUND(L44,3)&lt;&gt;L44</formula>
    </cfRule>
    <cfRule type="expression" dxfId="1080" priority="69">
      <formula>L44=0</formula>
    </cfRule>
  </conditionalFormatting>
  <conditionalFormatting sqref="L63">
    <cfRule type="expression" dxfId="1079" priority="66">
      <formula>ROUND(L63,3)&lt;&gt;L63</formula>
    </cfRule>
    <cfRule type="expression" dxfId="1078" priority="67">
      <formula>L63=0</formula>
    </cfRule>
  </conditionalFormatting>
  <conditionalFormatting sqref="L82">
    <cfRule type="expression" dxfId="1077" priority="64">
      <formula>ROUND(L82,3)&lt;&gt;L82</formula>
    </cfRule>
    <cfRule type="expression" dxfId="1076" priority="65">
      <formula>L82=0</formula>
    </cfRule>
  </conditionalFormatting>
  <conditionalFormatting sqref="L101">
    <cfRule type="expression" dxfId="1075" priority="62">
      <formula>ROUND(L101,3)&lt;&gt;L101</formula>
    </cfRule>
    <cfRule type="expression" dxfId="1074" priority="63">
      <formula>L101=0</formula>
    </cfRule>
  </conditionalFormatting>
  <conditionalFormatting sqref="L120">
    <cfRule type="expression" dxfId="1073" priority="60">
      <formula>ROUND(L120,3)&lt;&gt;L120</formula>
    </cfRule>
    <cfRule type="expression" dxfId="1072" priority="61">
      <formula>L120=0</formula>
    </cfRule>
  </conditionalFormatting>
  <conditionalFormatting sqref="L139">
    <cfRule type="expression" dxfId="1071" priority="58">
      <formula>ROUND(L139,3)&lt;&gt;L139</formula>
    </cfRule>
    <cfRule type="expression" dxfId="1070" priority="59">
      <formula>L139=0</formula>
    </cfRule>
  </conditionalFormatting>
  <conditionalFormatting sqref="H6">
    <cfRule type="expression" dxfId="1069" priority="57">
      <formula>ROUND(IF(H6="隐藏水印。作者：战犬金龟（贴吧/B站）",1,0),1)</formula>
    </cfRule>
  </conditionalFormatting>
  <conditionalFormatting sqref="H25">
    <cfRule type="expression" dxfId="1068" priority="56">
      <formula>ROUND(IF(H25="隐藏水印。作者：战犬金龟（贴吧/B站）",1,0),1)</formula>
    </cfRule>
  </conditionalFormatting>
  <conditionalFormatting sqref="H44">
    <cfRule type="expression" dxfId="1067" priority="55">
      <formula>ROUND(IF(H44="隐藏水印。作者：战犬金龟（贴吧/B站）",1,0),1)</formula>
    </cfRule>
  </conditionalFormatting>
  <conditionalFormatting sqref="H63">
    <cfRule type="expression" dxfId="1066" priority="54">
      <formula>ROUND(IF(H63="隐藏水印。作者：战犬金龟（贴吧/B站）",1,0),1)</formula>
    </cfRule>
  </conditionalFormatting>
  <conditionalFormatting sqref="H82">
    <cfRule type="expression" dxfId="1065" priority="53">
      <formula>ROUND(IF(H82="隐藏水印。作者：战犬金龟（贴吧/B站）",1,0),1)</formula>
    </cfRule>
  </conditionalFormatting>
  <conditionalFormatting sqref="H101">
    <cfRule type="expression" dxfId="1064" priority="52">
      <formula>ROUND(IF(H101="隐藏水印。作者：战犬金龟（贴吧/B站）",1,0),1)</formula>
    </cfRule>
  </conditionalFormatting>
  <conditionalFormatting sqref="H120">
    <cfRule type="expression" dxfId="1063" priority="51">
      <formula>ROUND(IF(H120="隐藏水印。作者：战犬金龟（贴吧/B站）",1,0),1)</formula>
    </cfRule>
  </conditionalFormatting>
  <conditionalFormatting sqref="H139">
    <cfRule type="expression" dxfId="1062" priority="50">
      <formula>ROUND(IF(H139="隐藏水印。作者：战犬金龟（贴吧/B站）",1,0),1)</formula>
    </cfRule>
  </conditionalFormatting>
  <conditionalFormatting sqref="N6">
    <cfRule type="expression" dxfId="1061" priority="49">
      <formula>ROUND(N6,1)&lt;&gt;N6</formula>
    </cfRule>
  </conditionalFormatting>
  <conditionalFormatting sqref="N25">
    <cfRule type="expression" dxfId="1060" priority="48">
      <formula>ROUND(N25,1)&lt;&gt;N25</formula>
    </cfRule>
  </conditionalFormatting>
  <conditionalFormatting sqref="N44">
    <cfRule type="expression" dxfId="1059" priority="47">
      <formula>ROUND(N44,1)&lt;&gt;N44</formula>
    </cfRule>
  </conditionalFormatting>
  <conditionalFormatting sqref="N63">
    <cfRule type="expression" dxfId="1058" priority="46">
      <formula>ROUND(N63,1)&lt;&gt;N63</formula>
    </cfRule>
  </conditionalFormatting>
  <conditionalFormatting sqref="N82">
    <cfRule type="expression" dxfId="1057" priority="45">
      <formula>ROUND(N82,1)&lt;&gt;N82</formula>
    </cfRule>
  </conditionalFormatting>
  <conditionalFormatting sqref="N101">
    <cfRule type="expression" dxfId="1056" priority="44">
      <formula>ROUND(N101,1)&lt;&gt;N101</formula>
    </cfRule>
  </conditionalFormatting>
  <conditionalFormatting sqref="N120">
    <cfRule type="expression" dxfId="1055" priority="43">
      <formula>ROUND(N120,1)&lt;&gt;N120</formula>
    </cfRule>
  </conditionalFormatting>
  <conditionalFormatting sqref="N139">
    <cfRule type="expression" dxfId="1054" priority="42">
      <formula>ROUND(N139,1)&lt;&gt;N139</formula>
    </cfRule>
  </conditionalFormatting>
  <conditionalFormatting sqref="G147:G150 G152:G155">
    <cfRule type="expression" dxfId="1053" priority="2">
      <formula>AND(T147&lt;&gt;"",F147="")</formula>
    </cfRule>
  </conditionalFormatting>
  <conditionalFormatting sqref="F14:J17 F19:J22">
    <cfRule type="expression" dxfId="1052" priority="41">
      <formula>ROUND(F14,3)&lt;&gt;F14</formula>
    </cfRule>
  </conditionalFormatting>
  <conditionalFormatting sqref="K14:P17 K19:P22">
    <cfRule type="expression" dxfId="1051" priority="40">
      <formula>ROUND(K14,1)&lt;&gt;K14</formula>
    </cfRule>
  </conditionalFormatting>
  <conditionalFormatting sqref="F14:P17 F19:P22">
    <cfRule type="expression" dxfId="1050" priority="39">
      <formula>F14=0</formula>
    </cfRule>
  </conditionalFormatting>
  <conditionalFormatting sqref="F14:F17 F19:F22">
    <cfRule type="expression" dxfId="1049" priority="38">
      <formula>AND(T14&lt;&gt;"",F14&lt;&gt;"")</formula>
    </cfRule>
  </conditionalFormatting>
  <conditionalFormatting sqref="G14:G17 G19:G22">
    <cfRule type="expression" dxfId="1048" priority="37">
      <formula>AND(T14&lt;&gt;"",F14="")</formula>
    </cfRule>
  </conditionalFormatting>
  <conditionalFormatting sqref="F33:J36 F38:J41">
    <cfRule type="expression" dxfId="1047" priority="36">
      <formula>ROUND(F33,3)&lt;&gt;F33</formula>
    </cfRule>
  </conditionalFormatting>
  <conditionalFormatting sqref="K33:P36 K38:P41">
    <cfRule type="expression" dxfId="1046" priority="35">
      <formula>ROUND(K33,1)&lt;&gt;K33</formula>
    </cfRule>
  </conditionalFormatting>
  <conditionalFormatting sqref="F33:P36 F38:P41">
    <cfRule type="expression" dxfId="1045" priority="34">
      <formula>F33=0</formula>
    </cfRule>
  </conditionalFormatting>
  <conditionalFormatting sqref="F33:F36 F38:F41">
    <cfRule type="expression" dxfId="1044" priority="33">
      <formula>AND(T33&lt;&gt;"",F33&lt;&gt;"")</formula>
    </cfRule>
  </conditionalFormatting>
  <conditionalFormatting sqref="G33:G36 G38:G41">
    <cfRule type="expression" dxfId="1043" priority="32">
      <formula>AND(T33&lt;&gt;"",F33="")</formula>
    </cfRule>
  </conditionalFormatting>
  <conditionalFormatting sqref="F52:J55 F57:J60">
    <cfRule type="expression" dxfId="1042" priority="31">
      <formula>ROUND(F52,3)&lt;&gt;F52</formula>
    </cfRule>
  </conditionalFormatting>
  <conditionalFormatting sqref="K52:P55 K57:P60">
    <cfRule type="expression" dxfId="1041" priority="30">
      <formula>ROUND(K52,1)&lt;&gt;K52</formula>
    </cfRule>
  </conditionalFormatting>
  <conditionalFormatting sqref="F52:P55 F57:P60">
    <cfRule type="expression" dxfId="1040" priority="29">
      <formula>F52=0</formula>
    </cfRule>
  </conditionalFormatting>
  <conditionalFormatting sqref="F52:F55 F57:F60">
    <cfRule type="expression" dxfId="1039" priority="28">
      <formula>AND(T52&lt;&gt;"",F52&lt;&gt;"")</formula>
    </cfRule>
  </conditionalFormatting>
  <conditionalFormatting sqref="G52:G55 G57:G60">
    <cfRule type="expression" dxfId="1038" priority="27">
      <formula>AND(T52&lt;&gt;"",F52="")</formula>
    </cfRule>
  </conditionalFormatting>
  <conditionalFormatting sqref="F71:J74 F76:J79">
    <cfRule type="expression" dxfId="1037" priority="26">
      <formula>ROUND(F71,3)&lt;&gt;F71</formula>
    </cfRule>
  </conditionalFormatting>
  <conditionalFormatting sqref="K71:P74 K76:P79">
    <cfRule type="expression" dxfId="1036" priority="25">
      <formula>ROUND(K71,1)&lt;&gt;K71</formula>
    </cfRule>
  </conditionalFormatting>
  <conditionalFormatting sqref="F71:P74 F76:P79">
    <cfRule type="expression" dxfId="1035" priority="24">
      <formula>F71=0</formula>
    </cfRule>
  </conditionalFormatting>
  <conditionalFormatting sqref="F71:F74 F76:F79">
    <cfRule type="expression" dxfId="1034" priority="23">
      <formula>AND(T71&lt;&gt;"",F71&lt;&gt;"")</formula>
    </cfRule>
  </conditionalFormatting>
  <conditionalFormatting sqref="G71:G74 G76:G79">
    <cfRule type="expression" dxfId="1033" priority="22">
      <formula>AND(T71&lt;&gt;"",F71="")</formula>
    </cfRule>
  </conditionalFormatting>
  <conditionalFormatting sqref="F90:J93 F95:J98">
    <cfRule type="expression" dxfId="1032" priority="21">
      <formula>ROUND(F90,3)&lt;&gt;F90</formula>
    </cfRule>
  </conditionalFormatting>
  <conditionalFormatting sqref="K90:P93 K95:P98">
    <cfRule type="expression" dxfId="1031" priority="20">
      <formula>ROUND(K90,1)&lt;&gt;K90</formula>
    </cfRule>
  </conditionalFormatting>
  <conditionalFormatting sqref="F90:P93 F95:P98">
    <cfRule type="expression" dxfId="1030" priority="19">
      <formula>F90=0</formula>
    </cfRule>
  </conditionalFormatting>
  <conditionalFormatting sqref="F90:F93 F95:F98">
    <cfRule type="expression" dxfId="1029" priority="18">
      <formula>AND(T90&lt;&gt;"",F90&lt;&gt;"")</formula>
    </cfRule>
  </conditionalFormatting>
  <conditionalFormatting sqref="G90:G93 G95:G98">
    <cfRule type="expression" dxfId="1028" priority="17">
      <formula>AND(T90&lt;&gt;"",F90="")</formula>
    </cfRule>
  </conditionalFormatting>
  <conditionalFormatting sqref="F109:J112 F114:J117">
    <cfRule type="expression" dxfId="1027" priority="16">
      <formula>ROUND(F109,3)&lt;&gt;F109</formula>
    </cfRule>
  </conditionalFormatting>
  <conditionalFormatting sqref="K109:P112 K114:P117">
    <cfRule type="expression" dxfId="1026" priority="15">
      <formula>ROUND(K109,1)&lt;&gt;K109</formula>
    </cfRule>
  </conditionalFormatting>
  <conditionalFormatting sqref="F109:P112 F114:P117">
    <cfRule type="expression" dxfId="1025" priority="14">
      <formula>F109=0</formula>
    </cfRule>
  </conditionalFormatting>
  <conditionalFormatting sqref="F109:F112 F114:F117">
    <cfRule type="expression" dxfId="1024" priority="13">
      <formula>AND(T109&lt;&gt;"",F109&lt;&gt;"")</formula>
    </cfRule>
  </conditionalFormatting>
  <conditionalFormatting sqref="G109:G112 G114:G117">
    <cfRule type="expression" dxfId="1023" priority="12">
      <formula>AND(T109&lt;&gt;"",F109="")</formula>
    </cfRule>
  </conditionalFormatting>
  <conditionalFormatting sqref="F128:J131 F133:J136">
    <cfRule type="expression" dxfId="1022" priority="11">
      <formula>ROUND(F128,3)&lt;&gt;F128</formula>
    </cfRule>
  </conditionalFormatting>
  <conditionalFormatting sqref="K128:P131 K133:P136">
    <cfRule type="expression" dxfId="1021" priority="10">
      <formula>ROUND(K128,1)&lt;&gt;K128</formula>
    </cfRule>
  </conditionalFormatting>
  <conditionalFormatting sqref="F128:P131 F133:P136">
    <cfRule type="expression" dxfId="1020" priority="9">
      <formula>F128=0</formula>
    </cfRule>
  </conditionalFormatting>
  <conditionalFormatting sqref="F128:F131 F133:F136">
    <cfRule type="expression" dxfId="1019" priority="8">
      <formula>AND(T128&lt;&gt;"",F128&lt;&gt;"")</formula>
    </cfRule>
  </conditionalFormatting>
  <conditionalFormatting sqref="G128:G131 G133:G136">
    <cfRule type="expression" dxfId="1018" priority="7">
      <formula>AND(T128&lt;&gt;"",F128="")</formula>
    </cfRule>
  </conditionalFormatting>
  <conditionalFormatting sqref="F147:J150 F152:J155">
    <cfRule type="expression" dxfId="1017" priority="6">
      <formula>ROUND(F147,3)&lt;&gt;F147</formula>
    </cfRule>
  </conditionalFormatting>
  <conditionalFormatting sqref="K147:P150 K152:P155">
    <cfRule type="expression" dxfId="1016" priority="5">
      <formula>ROUND(K147,1)&lt;&gt;K147</formula>
    </cfRule>
  </conditionalFormatting>
  <conditionalFormatting sqref="F147:P150 F152:P155">
    <cfRule type="expression" dxfId="1015" priority="4">
      <formula>F147=0</formula>
    </cfRule>
  </conditionalFormatting>
  <conditionalFormatting sqref="F147:F150 F152:F155">
    <cfRule type="expression" dxfId="1014" priority="3">
      <formula>AND(T147&lt;&gt;"",F147&lt;&gt;"")</formula>
    </cfRule>
  </conditionalFormatting>
  <conditionalFormatting sqref="B3:W3">
    <cfRule type="expression" dxfId="1013" priority="1">
      <formula>B3=0</formula>
    </cfRule>
  </conditionalFormatting>
  <hyperlinks>
    <hyperlink ref="I102" r:id="rId1"/>
    <hyperlink ref="I140" r:id="rId2"/>
    <hyperlink ref="I121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5"/>
  <sheetViews>
    <sheetView topLeftCell="A45" workbookViewId="0">
      <selection activeCell="I64" sqref="I64"/>
    </sheetView>
  </sheetViews>
  <sheetFormatPr defaultRowHeight="14.4"/>
  <sheetData>
    <row r="1" spans="1:23">
      <c r="A1" s="57" t="s">
        <v>73</v>
      </c>
    </row>
    <row r="3" spans="1:23">
      <c r="A3" s="57" t="s">
        <v>300</v>
      </c>
      <c r="B3" s="92" t="str">
        <f ca="1">HYPERLINK("#A5",INDIRECT("A5"))</f>
        <v>土星五号</v>
      </c>
      <c r="C3" s="93"/>
      <c r="D3" s="92" t="str">
        <f ca="1">HYPERLINK("#A24",INDIRECT("A24"))</f>
        <v>星舰</v>
      </c>
      <c r="E3" s="93"/>
      <c r="F3" s="92" t="str">
        <f ca="1">HYPERLINK("#A43",INDIRECT("A43"))</f>
        <v>N1</v>
      </c>
      <c r="G3" s="92"/>
      <c r="H3" s="92" t="str">
        <f ca="1">HYPERLINK("#A62",INDIRECT("A62"))</f>
        <v>N1/L3</v>
      </c>
      <c r="I3" s="93"/>
      <c r="J3" s="92" t="str">
        <f ca="1">HYPERLINK("#A81",INDIRECT("A81"))</f>
        <v>能源号</v>
      </c>
      <c r="K3" s="93"/>
      <c r="L3" s="92" t="str">
        <f ca="1">HYPERLINK("#A100",INDIRECT("A100"))</f>
        <v>SLS Block 1</v>
      </c>
      <c r="M3" s="93"/>
      <c r="N3" s="92" t="str">
        <f ca="1">HYPERLINK("#A119",INDIRECT("A119"))</f>
        <v>SLS Block 2</v>
      </c>
      <c r="O3" s="93"/>
      <c r="P3" s="92" t="str">
        <f ca="1">HYPERLINK("#A138",INDIRECT("A138"))</f>
        <v>新格伦</v>
      </c>
      <c r="Q3" s="93"/>
      <c r="R3" s="92">
        <f ca="1">HYPERLINK("#A157",INDIRECT("A157"))</f>
        <v>0</v>
      </c>
      <c r="S3" s="93"/>
      <c r="T3" s="92">
        <f ca="1">HYPERLINK("#A176",INDIRECT("A176"))</f>
        <v>0</v>
      </c>
      <c r="U3" s="93"/>
      <c r="V3" s="92">
        <f ca="1">HYPERLINK("#A195",INDIRECT("A195"))</f>
        <v>0</v>
      </c>
      <c r="W3" s="93"/>
    </row>
    <row r="4" spans="1:23" ht="15" thickBot="1"/>
    <row r="5" spans="1:23" ht="15" thickBot="1">
      <c r="A5" s="52" t="s">
        <v>118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119</v>
      </c>
      <c r="B6" s="39"/>
      <c r="C6" s="2">
        <v>0</v>
      </c>
      <c r="D6" s="2">
        <v>263</v>
      </c>
      <c r="E6" s="2">
        <v>0</v>
      </c>
      <c r="F6" s="41"/>
      <c r="G6" s="42"/>
      <c r="H6" s="42"/>
      <c r="I6" s="24" t="s">
        <v>308</v>
      </c>
      <c r="J6" s="24"/>
      <c r="K6" s="24"/>
      <c r="L6" s="55">
        <f>IFERROR(IF(AND(F8&lt;&gt;0,C6&lt;&gt;0),M8/F8*E6+M9/F9*D6,M9/F9*D6),0)</f>
        <v>3429.6411184210529</v>
      </c>
      <c r="M6" s="53" t="s">
        <v>45</v>
      </c>
      <c r="N6" s="17" t="str">
        <f>IF(AND(F8&lt;&gt;0,C6&lt;&gt;0),(M8+M9)/(M8/F8+M9/F9),"")</f>
        <v/>
      </c>
      <c r="O6" s="56" t="s">
        <v>45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60" t="s">
        <v>140</v>
      </c>
      <c r="J7" s="24"/>
      <c r="K7" s="24"/>
      <c r="L7" s="11" t="s">
        <v>6</v>
      </c>
      <c r="M7" s="12" t="s">
        <v>69</v>
      </c>
      <c r="N7" s="12" t="s">
        <v>13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12</v>
      </c>
      <c r="U7" s="1" t="s">
        <v>10</v>
      </c>
      <c r="V7" s="1" t="s">
        <v>11</v>
      </c>
    </row>
    <row r="8" spans="1:23">
      <c r="A8" s="40"/>
      <c r="B8" s="27" t="s">
        <v>3</v>
      </c>
      <c r="C8" s="3"/>
      <c r="D8" s="4"/>
      <c r="E8" s="4"/>
      <c r="F8" s="4"/>
      <c r="G8" s="19"/>
      <c r="H8" s="20"/>
      <c r="I8" s="24"/>
      <c r="J8" s="24"/>
      <c r="K8" s="24"/>
      <c r="L8" s="14">
        <f>C8*C6</f>
        <v>0</v>
      </c>
      <c r="M8" s="1">
        <f>E8*C6</f>
        <v>0</v>
      </c>
      <c r="N8" s="1">
        <f>IF(D8,L8/D8,0)</f>
        <v>0</v>
      </c>
      <c r="O8" s="15">
        <f>L8-N8</f>
        <v>0</v>
      </c>
      <c r="P8" s="14">
        <f>IF(AND(F8&lt;&gt;0,C6&lt;&gt;0),O8/M8*F8/IF(G8,G8,1),0)</f>
        <v>0</v>
      </c>
      <c r="Q8" s="1">
        <f>SUM(L8:L12)</f>
        <v>2833.2</v>
      </c>
      <c r="R8" s="15">
        <f>N8+Q9</f>
        <v>2833.2</v>
      </c>
      <c r="S8" s="14">
        <f>N8+H8*O8</f>
        <v>0</v>
      </c>
      <c r="T8" s="1">
        <f>IF(AND(F8&lt;&gt;0,C6&lt;&gt;0),(1-H8)*O8/M8*F8/IF(G8,G8,1),0)</f>
        <v>0</v>
      </c>
      <c r="U8" s="1">
        <f>SUM(L8:L12)</f>
        <v>2833.2</v>
      </c>
      <c r="V8" s="1">
        <f>S8+U9</f>
        <v>2833.2</v>
      </c>
    </row>
    <row r="9" spans="1:23">
      <c r="A9" s="47"/>
      <c r="B9" s="27">
        <v>1</v>
      </c>
      <c r="C9" s="5">
        <v>2214</v>
      </c>
      <c r="D9" s="1">
        <v>16.16</v>
      </c>
      <c r="E9" s="1">
        <v>3964.3</v>
      </c>
      <c r="F9" s="1">
        <v>304</v>
      </c>
      <c r="G9" s="5">
        <v>1</v>
      </c>
      <c r="H9" s="21"/>
      <c r="I9" s="30" t="s">
        <v>130</v>
      </c>
      <c r="J9" s="30"/>
      <c r="K9" s="30"/>
      <c r="L9" s="14">
        <f>C9</f>
        <v>2214</v>
      </c>
      <c r="M9" s="1">
        <f>E9</f>
        <v>3964.3</v>
      </c>
      <c r="N9" s="1">
        <f>IF(D9,L9/D9,0)</f>
        <v>137.00495049504951</v>
      </c>
      <c r="O9" s="15">
        <f>L9-N9</f>
        <v>2076.9950495049507</v>
      </c>
      <c r="P9" s="14">
        <f t="shared" ref="P9:P12" si="0">IF(F9,O9/M9*F9/IF(G9,G9,1),0)</f>
        <v>159.27313650568954</v>
      </c>
      <c r="Q9" s="1">
        <f>IF(F9,SUM(L9:L12)-P8*M9/F9*IF(G9,G9,1),0)</f>
        <v>2833.2</v>
      </c>
      <c r="R9" s="15">
        <f>N9+Q10</f>
        <v>756.20495049504962</v>
      </c>
      <c r="S9" s="14">
        <f>N9+H9*O9</f>
        <v>137.00495049504951</v>
      </c>
      <c r="T9" s="1">
        <f>IF(F9,(1-H9)*O9/M9*F9/IF(G9,G9,1),0)</f>
        <v>159.27313650568954</v>
      </c>
      <c r="U9" s="1">
        <f>IF(F9,SUM(L9:L12)-T8*M9/F9*IF(G9,G9,1),0)</f>
        <v>2833.2</v>
      </c>
      <c r="V9" s="1">
        <f>S9+U10</f>
        <v>756.20495049504962</v>
      </c>
    </row>
    <row r="10" spans="1:23">
      <c r="A10" s="47"/>
      <c r="B10" s="27">
        <v>2</v>
      </c>
      <c r="C10" s="5">
        <v>496.2</v>
      </c>
      <c r="D10" s="1">
        <v>12.37</v>
      </c>
      <c r="E10" s="1">
        <v>524.6</v>
      </c>
      <c r="F10" s="1">
        <v>421</v>
      </c>
      <c r="G10" s="5"/>
      <c r="H10" s="21"/>
      <c r="I10" s="30" t="s">
        <v>131</v>
      </c>
      <c r="J10" s="30"/>
      <c r="K10" s="30"/>
      <c r="L10" s="14">
        <f>C10</f>
        <v>496.2</v>
      </c>
      <c r="M10" s="1">
        <f>E10</f>
        <v>524.6</v>
      </c>
      <c r="N10" s="1">
        <f>IF(D10,L10/D10,0)</f>
        <v>40.113177041228781</v>
      </c>
      <c r="O10" s="15">
        <f>L10-N10</f>
        <v>456.08682295877122</v>
      </c>
      <c r="P10" s="14">
        <f t="shared" si="0"/>
        <v>366.01706531765666</v>
      </c>
      <c r="Q10" s="1">
        <f>SUM(L10:L12)</f>
        <v>619.20000000000005</v>
      </c>
      <c r="R10" s="15">
        <f>N10+Q11</f>
        <v>163.11317704122877</v>
      </c>
      <c r="S10" s="14">
        <f>N10+H10*O10</f>
        <v>40.113177041228781</v>
      </c>
      <c r="T10" s="1">
        <f t="shared" ref="T10:T12" si="1">IF(F10,(1-H10)*O10/M10*F10/IF(G10,G10,1),0)</f>
        <v>366.01706531765666</v>
      </c>
      <c r="U10" s="1">
        <f>SUM(L10:L12)</f>
        <v>619.20000000000005</v>
      </c>
      <c r="V10" s="1">
        <f>S10+U11</f>
        <v>163.11317704122877</v>
      </c>
    </row>
    <row r="11" spans="1:23">
      <c r="A11" s="33" t="s">
        <v>45</v>
      </c>
      <c r="B11" s="27">
        <v>3</v>
      </c>
      <c r="C11" s="5">
        <v>123</v>
      </c>
      <c r="D11" s="1">
        <v>8.09</v>
      </c>
      <c r="E11" s="1">
        <v>104.9</v>
      </c>
      <c r="F11" s="1">
        <v>421</v>
      </c>
      <c r="G11" s="5"/>
      <c r="H11" s="21"/>
      <c r="I11" s="30" t="s">
        <v>132</v>
      </c>
      <c r="J11" s="30"/>
      <c r="K11" s="30"/>
      <c r="L11" s="14">
        <f>C11</f>
        <v>123</v>
      </c>
      <c r="M11" s="1">
        <f>E11</f>
        <v>104.9</v>
      </c>
      <c r="N11" s="1">
        <f>IF(D11,L11/D11,0)</f>
        <v>15.203955500618047</v>
      </c>
      <c r="O11" s="15">
        <f>L11-N11</f>
        <v>107.79604449938195</v>
      </c>
      <c r="P11" s="14">
        <f t="shared" si="0"/>
        <v>432.62282873441183</v>
      </c>
      <c r="Q11" s="1">
        <f>SUM(L11:L12)</f>
        <v>123</v>
      </c>
      <c r="R11" s="15">
        <f>N11+Q12</f>
        <v>15.203955500618047</v>
      </c>
      <c r="S11" s="14">
        <f>N11+H11*O11</f>
        <v>15.203955500618047</v>
      </c>
      <c r="T11" s="1">
        <f t="shared" si="1"/>
        <v>432.62282873441183</v>
      </c>
      <c r="U11" s="1">
        <f>SUM(L11:L12)</f>
        <v>123</v>
      </c>
      <c r="V11" s="1">
        <f>S11+U12</f>
        <v>15.203955500618047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24"/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265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94" t="s">
        <v>42</v>
      </c>
      <c r="R13" s="85"/>
      <c r="S13" s="85"/>
      <c r="T13" s="31" t="s">
        <v>50</v>
      </c>
      <c r="U13" s="35" t="s">
        <v>47</v>
      </c>
      <c r="V13" s="36" t="s">
        <v>264</v>
      </c>
    </row>
    <row r="14" spans="1:23">
      <c r="A14" s="47"/>
      <c r="B14" s="27" t="s">
        <v>30</v>
      </c>
      <c r="C14" s="8">
        <v>140</v>
      </c>
      <c r="D14" s="1">
        <f>IF(C14,C14+Q8,"")</f>
        <v>2973.2</v>
      </c>
      <c r="E14" s="72">
        <f>IF(C14,C14/D14,"")</f>
        <v>4.7087313332436438E-2</v>
      </c>
      <c r="F14" s="14" t="str">
        <f>IF(AND(C14&lt;&gt;"",N6&lt;&gt;""),(M8/F8*E6+M9/F9*D6)/(C14+Q8),"")</f>
        <v/>
      </c>
      <c r="G14" s="1">
        <f>IF(C14,IF(AND(F8&lt;&gt;0,C6&lt;&gt;0),M9,M9/F9*D6)/(C14+Q9),"")</f>
        <v>1.1535184711492845</v>
      </c>
      <c r="H14" s="1">
        <f>IF(C14,(M10)/(C14+Q10),"")</f>
        <v>0.69099051633298203</v>
      </c>
      <c r="I14" s="1">
        <f>IF(C14,(M11)/(C14+Q11),"")</f>
        <v>0.39885931558935361</v>
      </c>
      <c r="J14" s="1">
        <f>IF(C14,(M12)/(C14+Q12),"")</f>
        <v>0</v>
      </c>
      <c r="K14" s="14" t="str">
        <f>IF(AND(C14&lt;&gt;"",N6&lt;&gt;""),9.8*N6*LN((C14+Q8)/(C14+R8)),"")</f>
        <v/>
      </c>
      <c r="L14" s="1">
        <f>IF(C14,9.8*F9*LN((C14+Q9)/(C14+R9)),"")</f>
        <v>3572.7310206176944</v>
      </c>
      <c r="M14" s="1">
        <f>IF(C14,9.8*F10*LN((C14+Q10)/(C14+R10)),"")</f>
        <v>3788.1403606942772</v>
      </c>
      <c r="N14" s="1">
        <f>IF(C14,9.8*F11*LN((C14+Q11)/(C14+R11)),"")</f>
        <v>2176.004426557136</v>
      </c>
      <c r="O14" s="1">
        <f>IF(C14,9.8*F12*LN((C14+Q12)/(C14+R12)),"")</f>
        <v>0</v>
      </c>
      <c r="P14" s="15">
        <f>IF(C14,SUM(K14:O14),"")</f>
        <v>9536.875807869108</v>
      </c>
      <c r="Q14" s="1"/>
      <c r="R14" s="1"/>
      <c r="S14" s="1"/>
      <c r="T14" s="32" t="str">
        <f>IF(OR(F14&lt;1,AND(F14="",G14&lt;1)),"起飞推重比不得小于0，空天飞机除外","")</f>
        <v/>
      </c>
      <c r="U14" s="1"/>
      <c r="V14" s="1"/>
    </row>
    <row r="15" spans="1:23">
      <c r="A15" s="33" t="s">
        <v>45</v>
      </c>
      <c r="B15" s="27" t="s">
        <v>31</v>
      </c>
      <c r="C15" s="9">
        <v>60</v>
      </c>
      <c r="D15" s="1">
        <f>IF(C15,C15+Q8,"")</f>
        <v>2893.2</v>
      </c>
      <c r="E15" s="72">
        <f t="shared" ref="E15:E17" si="2">IF(C15,C15/D15,"")</f>
        <v>2.073828287017835E-2</v>
      </c>
      <c r="F15" s="14" t="str">
        <f>IF(AND(C15&lt;&gt;"",N6&lt;&gt;""),(M8/F8*E6+M9/F9*D6)/(C15+Q8),"")</f>
        <v/>
      </c>
      <c r="G15" s="1">
        <f>IF(C15,IF(AND(F8&lt;&gt;0,C6&lt;&gt;0),M9,M9/F9*D6)/(C15+Q9),"")</f>
        <v>1.1854144609501773</v>
      </c>
      <c r="H15" s="1">
        <f>IF(C15,(M10)/(C15+Q10),"")</f>
        <v>0.77237926972909299</v>
      </c>
      <c r="I15" s="1">
        <f>IF(C15,(M11)/(C15+Q11),"")</f>
        <v>0.57322404371584701</v>
      </c>
      <c r="J15" s="1">
        <f>IF(C15,(M12)/(C15+Q12),"")</f>
        <v>0</v>
      </c>
      <c r="K15" s="14" t="str">
        <f>IF(AND(C15&lt;&gt;"",N6&lt;&gt;""),9.8*N6*LN((C15+Q8)/(C15+R8)),"")</f>
        <v/>
      </c>
      <c r="L15" s="1">
        <f>IF(C15,9.8*F9*LN((C15+Q9)/(C15+R9)),"")</f>
        <v>3770.0374188838869</v>
      </c>
      <c r="M15" s="1">
        <f>IF(C15,9.8*F10*LN((C15+Q10)/(C15+R10)),"")</f>
        <v>4592.9910358379057</v>
      </c>
      <c r="N15" s="1">
        <f>IF(C15,9.8*F11*LN((C15+Q11)/(C15+R11)),"")</f>
        <v>3669.0010104063908</v>
      </c>
      <c r="O15" s="1">
        <f>IF(C15,9.8*F12*LN((C15+Q12)/(C15+R12)),"")</f>
        <v>0</v>
      </c>
      <c r="P15" s="15">
        <f>IF(C15,SUM(K15:O15),"")</f>
        <v>12032.029465128184</v>
      </c>
      <c r="Q15" s="1"/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32</v>
      </c>
      <c r="C16" s="9">
        <v>43.5</v>
      </c>
      <c r="D16" s="1">
        <f>IF(C16,C16+Q8,"")</f>
        <v>2876.7</v>
      </c>
      <c r="E16" s="72">
        <f t="shared" si="2"/>
        <v>1.5121493377828763E-2</v>
      </c>
      <c r="F16" s="14" t="str">
        <f>IF(AND(C16&lt;&gt;"",N6&lt;&gt;""),(M8/F8*E6+M9/F9*D6)/(C16+Q8),"")</f>
        <v/>
      </c>
      <c r="G16" s="1">
        <f>IF(C16,IF(AND(F8&lt;&gt;0,C6&lt;&gt;0),M9,M9/F9*D6)/(C16+Q9),"")</f>
        <v>1.1922136887478894</v>
      </c>
      <c r="H16" s="1">
        <f>IF(C16,(M10)/(C16+Q10),"")</f>
        <v>0.79161007997585631</v>
      </c>
      <c r="I16" s="1">
        <f>IF(C16,(M11)/(C16+Q11),"")</f>
        <v>0.63003003003003011</v>
      </c>
      <c r="J16" s="1">
        <f>IF(C16,(M12)/(C16+Q12),"")</f>
        <v>0</v>
      </c>
      <c r="K16" s="14" t="str">
        <f>IF(AND(C16&lt;&gt;"",N6&lt;&gt;""),9.8*N6*LN((C16+Q8)/(C16+R8)),"")</f>
        <v/>
      </c>
      <c r="L16" s="1">
        <f>IF(C16,9.8*F9*LN((C16+Q9)/(C16+R9)),"")</f>
        <v>3813.8414555170721</v>
      </c>
      <c r="M16" s="1">
        <f>IF(C16,9.8*F10*LN((C16+Q10)/(C16+R10)),"")</f>
        <v>4808.5128932152111</v>
      </c>
      <c r="N16" s="1">
        <f>IF(C16,9.8*F11*LN((C16+Q11)/(C16+R11)),"")</f>
        <v>4301.0978148902559</v>
      </c>
      <c r="O16" s="1">
        <f>IF(C16,9.8*F12*LN((C16+Q12)/(C16+R12)),"")</f>
        <v>0</v>
      </c>
      <c r="P16" s="15">
        <f>IF(C16,SUM(K16:O16),"")</f>
        <v>12923.452163622538</v>
      </c>
      <c r="Q16" s="1"/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/>
      <c r="D17" s="1" t="str">
        <f>IF(C17,C17+Q8,"")</f>
        <v/>
      </c>
      <c r="E17" s="72" t="str">
        <f t="shared" si="2"/>
        <v/>
      </c>
      <c r="F17" s="14" t="str">
        <f>IF(AND(C17&lt;&gt;"",N6&lt;&gt;""),(M8/F8*E6+M9/F9*D6)/(C17+Q8),"")</f>
        <v/>
      </c>
      <c r="G17" s="1" t="str">
        <f>IF(C17,IF(AND(F8&lt;&gt;0,C6&lt;&gt;0),M9,M9/F9*D6)/(C17+Q9),"")</f>
        <v/>
      </c>
      <c r="H17" s="1" t="str">
        <f>IF(C17,(M10)/(C17+Q10),"")</f>
        <v/>
      </c>
      <c r="I17" s="1" t="str">
        <f>IF(C17,(M11)/(C17+Q11),"")</f>
        <v/>
      </c>
      <c r="J17" s="1" t="str">
        <f>IF(C17,(M12)/(C17+Q12),"")</f>
        <v/>
      </c>
      <c r="K17" s="14" t="str">
        <f>IF(AND(C17&lt;&gt;"",N6&lt;&gt;""),9.8*N6*LN((C17+Q8)/(C17+R8)),"")</f>
        <v/>
      </c>
      <c r="L17" s="1" t="str">
        <f>IF(C17,9.8*F9*LN((C17+Q9)/(C17+R9)),"")</f>
        <v/>
      </c>
      <c r="M17" s="1" t="str">
        <f>IF(C17,9.8*F10*LN((C17+Q10)/(C17+R10)),"")</f>
        <v/>
      </c>
      <c r="N17" s="1" t="str">
        <f>IF(C17,9.8*F11*LN((C17+Q11)/(C17+R11)),"")</f>
        <v/>
      </c>
      <c r="O17" s="1" t="str">
        <f>IF(C17,9.8*F12*LN((C17+Q12)/(C17+R12)),"")</f>
        <v/>
      </c>
      <c r="P17" s="15" t="str">
        <f>IF(C17,SUM(K17:O17),"")</f>
        <v/>
      </c>
      <c r="Q17" s="17"/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54</v>
      </c>
      <c r="D18" s="12" t="s">
        <v>28</v>
      </c>
      <c r="E18" s="12" t="s">
        <v>266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94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/>
      <c r="D19" s="1" t="str">
        <f>IF(C19,C19+Q8,"")</f>
        <v/>
      </c>
      <c r="E19" s="72" t="str">
        <f>IF(C19,C19/D19,"")</f>
        <v/>
      </c>
      <c r="F19" s="14" t="str">
        <f>IF(AND(C19&lt;&gt;"",N6&lt;&gt;""),(M8/F8*E6+M9/F9*D6)/(C19+U8),"")</f>
        <v/>
      </c>
      <c r="G19" s="1" t="str">
        <f>IF(C19,IF(AND(F8&lt;&gt;0,C6&lt;&gt;0),M9,M9/F9*D6)/(C19+U9),"")</f>
        <v/>
      </c>
      <c r="H19" s="1" t="str">
        <f>IF(C19,(M10)/(C19+U10),"")</f>
        <v/>
      </c>
      <c r="I19" s="1" t="str">
        <f>IF(C19,(M11)/(C19+U11),"")</f>
        <v/>
      </c>
      <c r="J19" s="1" t="str">
        <f>IF(C19,(M12)/(C19+U12),"")</f>
        <v/>
      </c>
      <c r="K19" s="14" t="str">
        <f>IF(AND(C19&lt;&gt;"",N6&lt;&gt;""),9.8*N6*LN((C19+U8)/(C19+V8)),"")</f>
        <v/>
      </c>
      <c r="L19" s="1" t="str">
        <f>IF(C19,9.8*F9*LN((C19+U9)/(C19+V9)),"")</f>
        <v/>
      </c>
      <c r="M19" s="1" t="str">
        <f>IF(C19,9.8*F10*LN((C19+U10)/(C19+V10)),"")</f>
        <v/>
      </c>
      <c r="N19" s="1" t="str">
        <f>IF(C19,9.8*F11*LN((C19+U11)/(C19+V11)),"")</f>
        <v/>
      </c>
      <c r="O19" s="1" t="str">
        <f>IF(C19,9.8*F12*LN((C19+U12)/(C19+V12)),"")</f>
        <v/>
      </c>
      <c r="P19" s="15" t="str">
        <f>IF(C19,SUM(K19:O19),"")</f>
        <v/>
      </c>
      <c r="Q19" s="1"/>
      <c r="R19" s="1"/>
      <c r="S19" s="1"/>
      <c r="T19" s="32" t="str">
        <f>IF(OR(F19&lt;1,AND(F19="",G19&lt;1)),"起飞推重比不得小于0，空天飞机除外","")</f>
        <v/>
      </c>
      <c r="U19" s="1"/>
      <c r="V19" s="1"/>
    </row>
    <row r="20" spans="1:22">
      <c r="A20" s="47"/>
      <c r="B20" s="27" t="s">
        <v>31</v>
      </c>
      <c r="C20" s="9"/>
      <c r="D20" s="1" t="str">
        <f>IF(C20,C20+Q8,"")</f>
        <v/>
      </c>
      <c r="E20" s="72" t="str">
        <f t="shared" ref="E20:E22" si="4">IF(C20,C20/D20,"")</f>
        <v/>
      </c>
      <c r="F20" s="14" t="str">
        <f>IF(AND(C20&lt;&gt;"",N6&lt;&gt;""),(M8/F8*E6+M9/F9*D6)/(C20+U8),"")</f>
        <v/>
      </c>
      <c r="G20" s="1" t="str">
        <f>IF(C20,IF(AND(F8&lt;&gt;0,C6&lt;&gt;0),M9,M9/F9*D6)/(C20+U9),"")</f>
        <v/>
      </c>
      <c r="H20" s="1" t="str">
        <f>IF(C20,(M10)/(C20+U10),"")</f>
        <v/>
      </c>
      <c r="I20" s="1" t="str">
        <f>IF(C20,(M11)/(C20+U11),"")</f>
        <v/>
      </c>
      <c r="J20" s="1" t="str">
        <f>IF(C20,(M12)/(C20+U12),"")</f>
        <v/>
      </c>
      <c r="K20" s="14" t="str">
        <f>IF(AND(C20&lt;&gt;"",N6&lt;&gt;""),9.8*N6*LN((C20+U8)/(C20+V8)),"")</f>
        <v/>
      </c>
      <c r="L20" s="1" t="str">
        <f>IF(C20,9.8*F9*LN((C20+U9)/(C20+V9)),"")</f>
        <v/>
      </c>
      <c r="M20" s="1" t="str">
        <f>IF(C20,9.8*F10*LN((C20+U10)/(C20+V10)),"")</f>
        <v/>
      </c>
      <c r="N20" s="1" t="str">
        <f>IF(C20,9.8*F11*LN((C20+U11)/(C20+V11)),"")</f>
        <v/>
      </c>
      <c r="O20" s="1" t="str">
        <f>IF(C20,9.8*F12*LN((C20+U12)/(C20+V12)),"")</f>
        <v/>
      </c>
      <c r="P20" s="15" t="str">
        <f>IF(C20,SUM(K20:O20),"")</f>
        <v/>
      </c>
      <c r="Q20" s="1"/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/>
      <c r="D21" s="1" t="str">
        <f>IF(C21,C21+Q8,"")</f>
        <v/>
      </c>
      <c r="E21" s="72" t="str">
        <f t="shared" si="4"/>
        <v/>
      </c>
      <c r="F21" s="14" t="str">
        <f>IF(AND(C21&lt;&gt;"",N6&lt;&gt;""),(M8/F8*E6+M9/F9*D6)/(C21+U8),"")</f>
        <v/>
      </c>
      <c r="G21" s="1" t="str">
        <f>IF(C21,IF(AND(F8&lt;&gt;0,C6&lt;&gt;0),M9,M9/F9*D6)/(C21+U9),"")</f>
        <v/>
      </c>
      <c r="H21" s="1" t="str">
        <f>IF(C21,(M10)/(C21+U10),"")</f>
        <v/>
      </c>
      <c r="I21" s="1" t="str">
        <f>IF(C21,(M11)/(C21+U11),"")</f>
        <v/>
      </c>
      <c r="J21" s="1" t="str">
        <f>IF(C21,(M12)/(C21+U12),"")</f>
        <v/>
      </c>
      <c r="K21" s="14" t="str">
        <f>IF(AND(C21&lt;&gt;"",N6&lt;&gt;""),9.8*N6*LN((C21+U8)/(C21+V8)),"")</f>
        <v/>
      </c>
      <c r="L21" s="1" t="str">
        <f>IF(C21,9.8*F9*LN((C21+U9)/(C21+V9)),"")</f>
        <v/>
      </c>
      <c r="M21" s="1" t="str">
        <f>IF(C21,9.8*F10*LN((C21+U10)/(C21+V10)),"")</f>
        <v/>
      </c>
      <c r="N21" s="1" t="str">
        <f>IF(C21,9.8*F11*LN((C21+U11)/(C21+V11)),"")</f>
        <v/>
      </c>
      <c r="O21" s="1" t="str">
        <f>IF(C21,9.8*F12*LN((C21+U12)/(C21+V12)),"")</f>
        <v/>
      </c>
      <c r="P21" s="15" t="str">
        <f>IF(C21,SUM(K21:O21),"")</f>
        <v/>
      </c>
      <c r="Q21" s="1"/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45</v>
      </c>
      <c r="B22" s="49" t="s">
        <v>5</v>
      </c>
      <c r="C22" s="50"/>
      <c r="D22" s="25" t="str">
        <f>IF(C22,C22+Q8,"")</f>
        <v/>
      </c>
      <c r="E22" s="73" t="str">
        <f t="shared" si="4"/>
        <v/>
      </c>
      <c r="F22" s="70" t="str">
        <f>IF(AND(C22&lt;&gt;"",N6&lt;&gt;""),(M8/F8*E6+M9/F9*D6)/(C22+U8),"")</f>
        <v/>
      </c>
      <c r="G22" s="25" t="str">
        <f>IF(C22,IF(AND(F8&lt;&gt;0,C6&lt;&gt;0),M9,M9/F9*D6)/(C22+U9),"")</f>
        <v/>
      </c>
      <c r="H22" s="25" t="str">
        <f>IF(C22,(M10)/(C22+U10),"")</f>
        <v/>
      </c>
      <c r="I22" s="25" t="str">
        <f>IF(C22,(M11)/(C22+U11),"")</f>
        <v/>
      </c>
      <c r="J22" s="25" t="str">
        <f>IF(C22,(M12)/(C22+U12),"")</f>
        <v/>
      </c>
      <c r="K22" s="70" t="str">
        <f>IF(AND(C22&lt;&gt;"",N6&lt;&gt;""),9.8*N6*LN((C22+U8)/(C22+V8)),"")</f>
        <v/>
      </c>
      <c r="L22" s="25" t="str">
        <f>IF(C22,9.8*F9*LN((C22+U9)/(C22+V9)),"")</f>
        <v/>
      </c>
      <c r="M22" s="25" t="str">
        <f>IF(C22,9.8*F10*LN((C22+U10)/(C22+V10)),"")</f>
        <v/>
      </c>
      <c r="N22" s="25" t="str">
        <f>IF(C22,9.8*F11*LN((C22+U11)/(C22+V11)),"")</f>
        <v/>
      </c>
      <c r="O22" s="25" t="str">
        <f>IF(C22,9.8*F12*LN((C22+U12)/(C22+V12)),"")</f>
        <v/>
      </c>
      <c r="P22" s="71" t="str">
        <f>IF(C22,SUM(K22:O22),"")</f>
        <v/>
      </c>
      <c r="Q22" s="25"/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120</v>
      </c>
      <c r="B24" s="52"/>
      <c r="C24" s="29" t="s">
        <v>0</v>
      </c>
      <c r="D24" s="90" t="s">
        <v>41</v>
      </c>
      <c r="E24" s="90"/>
      <c r="F24" s="43"/>
      <c r="G24" s="43"/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121</v>
      </c>
      <c r="B25" s="39"/>
      <c r="C25" s="2">
        <v>0</v>
      </c>
      <c r="D25" s="2">
        <v>327</v>
      </c>
      <c r="E25" s="2">
        <v>0</v>
      </c>
      <c r="F25" s="41"/>
      <c r="G25" s="42"/>
      <c r="H25" s="42"/>
      <c r="I25" s="24" t="s">
        <v>67</v>
      </c>
      <c r="J25" s="24"/>
      <c r="K25" s="24"/>
      <c r="L25" s="55">
        <f>IFERROR(IF(AND(F27&lt;&gt;0,C25&lt;&gt;0),M27/F27*E25+M28/F28*D25,M28/F28*D25),0)</f>
        <v>7589.744318181818</v>
      </c>
      <c r="M25" s="53" t="s">
        <v>45</v>
      </c>
      <c r="N25" s="17" t="str">
        <f>IF(AND(F27&lt;&gt;0,C25&lt;&gt;0),(M27+M28)/(M27/F27+M28/F28),"")</f>
        <v/>
      </c>
      <c r="O25" s="56" t="s">
        <v>45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60" t="s">
        <v>141</v>
      </c>
      <c r="J26" s="24"/>
      <c r="K26" s="24"/>
      <c r="L26" s="11" t="s">
        <v>6</v>
      </c>
      <c r="M26" s="12" t="s">
        <v>69</v>
      </c>
      <c r="N26" s="12" t="s">
        <v>13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12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/>
      <c r="D27" s="4"/>
      <c r="E27" s="4"/>
      <c r="F27" s="4"/>
      <c r="G27" s="19"/>
      <c r="H27" s="20"/>
      <c r="I27" s="24"/>
      <c r="J27" s="24"/>
      <c r="K27" s="24"/>
      <c r="L27" s="14">
        <f>C27*C25</f>
        <v>0</v>
      </c>
      <c r="M27" s="1">
        <f>E27*C25</f>
        <v>0</v>
      </c>
      <c r="N27" s="1">
        <f>IF(D27,L27/D27,0)</f>
        <v>0</v>
      </c>
      <c r="O27" s="15">
        <f>L27-N27</f>
        <v>0</v>
      </c>
      <c r="P27" s="14">
        <f>IF(AND(F27&lt;&gt;0,C25&lt;&gt;0),O27/M27*F27/IF(G27,G27,1),0)</f>
        <v>0</v>
      </c>
      <c r="Q27" s="1">
        <f>SUM(L27:L31)</f>
        <v>4900</v>
      </c>
      <c r="R27" s="15">
        <f>N27+Q28</f>
        <v>4900</v>
      </c>
      <c r="S27" s="14">
        <f>N27+H27*O27</f>
        <v>0</v>
      </c>
      <c r="T27" s="1">
        <f>IF(AND(F27&lt;&gt;0,C25&lt;&gt;0),(1-H27)*O27/M27*F27/IF(G27,G27,1),0)</f>
        <v>0</v>
      </c>
      <c r="U27" s="1">
        <f>SUM(L27:L31)</f>
        <v>4900</v>
      </c>
      <c r="V27" s="1">
        <f>S27+U28</f>
        <v>4900</v>
      </c>
    </row>
    <row r="28" spans="1:22">
      <c r="A28" s="47"/>
      <c r="B28" s="27">
        <v>1</v>
      </c>
      <c r="C28" s="5">
        <v>3600</v>
      </c>
      <c r="D28" s="1">
        <v>18</v>
      </c>
      <c r="E28" s="1">
        <v>8170</v>
      </c>
      <c r="F28" s="1">
        <v>352</v>
      </c>
      <c r="G28" s="5">
        <v>1</v>
      </c>
      <c r="H28" s="21">
        <v>8.0100000000000005E-2</v>
      </c>
      <c r="I28" s="30" t="s">
        <v>68</v>
      </c>
      <c r="J28" s="30"/>
      <c r="K28" s="30"/>
      <c r="L28" s="14">
        <f>C28</f>
        <v>3600</v>
      </c>
      <c r="M28" s="1">
        <f>E28</f>
        <v>8170</v>
      </c>
      <c r="N28" s="1">
        <f>IF(D28,L28/D28,0)</f>
        <v>200</v>
      </c>
      <c r="O28" s="15">
        <f>L28-N28</f>
        <v>3400</v>
      </c>
      <c r="P28" s="14">
        <f t="shared" ref="P28:P31" si="6">IF(F28,O28/M28*F28/IF(G28,G28,1),0)</f>
        <v>146.48714810281518</v>
      </c>
      <c r="Q28" s="1">
        <f>IF(F28,SUM(L28:L31)-P27*M28/F28*IF(G28,G28,1),0)</f>
        <v>4900</v>
      </c>
      <c r="R28" s="15">
        <f>N28+Q29</f>
        <v>1500</v>
      </c>
      <c r="S28" s="14">
        <f>N28+H28*O28</f>
        <v>472.34000000000003</v>
      </c>
      <c r="T28" s="1">
        <f>IF(F28,(1-H28)*O28/M28*F28/IF(G28,G28,1),0)</f>
        <v>134.75352753977967</v>
      </c>
      <c r="U28" s="1">
        <f>IF(F28,SUM(L28:L31)-T27*M28/F28*IF(G28,G28,1),0)</f>
        <v>4900</v>
      </c>
      <c r="V28" s="1">
        <f>S28+U29</f>
        <v>1772.3400000000001</v>
      </c>
    </row>
    <row r="29" spans="1:22">
      <c r="A29" s="47"/>
      <c r="B29" s="27">
        <v>2</v>
      </c>
      <c r="C29" s="5">
        <v>1300</v>
      </c>
      <c r="D29" s="1">
        <v>13</v>
      </c>
      <c r="E29" s="1">
        <v>1697</v>
      </c>
      <c r="F29" s="1">
        <v>365</v>
      </c>
      <c r="G29" s="5"/>
      <c r="H29" s="21">
        <v>0.04</v>
      </c>
      <c r="I29" s="30" t="s">
        <v>162</v>
      </c>
      <c r="J29" s="30"/>
      <c r="K29" s="30"/>
      <c r="L29" s="14">
        <f>C29</f>
        <v>1300</v>
      </c>
      <c r="M29" s="1">
        <f>E29</f>
        <v>1697</v>
      </c>
      <c r="N29" s="1">
        <f>IF(D29,L29/D29,0)</f>
        <v>100</v>
      </c>
      <c r="O29" s="15">
        <f>L29-N29</f>
        <v>1200</v>
      </c>
      <c r="P29" s="14">
        <f t="shared" si="6"/>
        <v>258.10253388332347</v>
      </c>
      <c r="Q29" s="1">
        <f>SUM(L29:L31)</f>
        <v>1300</v>
      </c>
      <c r="R29" s="15">
        <f>N29+Q30</f>
        <v>100</v>
      </c>
      <c r="S29" s="14">
        <f>N29+H29*O29</f>
        <v>148</v>
      </c>
      <c r="T29" s="1">
        <f t="shared" ref="T29:T31" si="7">IF(F29,(1-H29)*O29/M29*F29/IF(G29,G29,1),0)</f>
        <v>247.77843252799056</v>
      </c>
      <c r="U29" s="1">
        <f>SUM(L29:L31)</f>
        <v>1300</v>
      </c>
      <c r="V29" s="1">
        <f>S29+U30</f>
        <v>148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/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24"/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265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264</v>
      </c>
    </row>
    <row r="33" spans="1:22">
      <c r="A33" s="47"/>
      <c r="B33" s="27" t="s">
        <v>30</v>
      </c>
      <c r="C33" s="8">
        <v>250</v>
      </c>
      <c r="D33" s="1">
        <f>IF(C33,C33+Q27,"")</f>
        <v>5150</v>
      </c>
      <c r="E33" s="72">
        <f>IF(C33,C33/D33,"")</f>
        <v>4.8543689320388349E-2</v>
      </c>
      <c r="F33" s="14" t="str">
        <f>IF(AND(C33&lt;&gt;"",N25&lt;&gt;""),(M27/F27*E25+M28/F28*D25)/(C33+Q27),"")</f>
        <v/>
      </c>
      <c r="G33" s="1">
        <f>IF(C33,IF(AND(F27&lt;&gt;0,C25&lt;&gt;0),M28,M28/F28*D25)/(C33+Q28),"")</f>
        <v>1.4737367608120036</v>
      </c>
      <c r="H33" s="1">
        <f>IF(C33,(M29)/(C33+Q29),"")</f>
        <v>1.0948387096774193</v>
      </c>
      <c r="I33" s="1">
        <f>IF(C33,(M30)/(C33+Q30),"")</f>
        <v>0</v>
      </c>
      <c r="J33" s="1">
        <f>IF(C33,(M31)/(C33+Q31),"")</f>
        <v>0</v>
      </c>
      <c r="K33" s="14" t="str">
        <f>IF(AND(C33&lt;&gt;"",N25&lt;&gt;""),9.8*N25*LN((C33+Q27)/(C33+R27)),"")</f>
        <v/>
      </c>
      <c r="L33" s="1">
        <f>IF(C33,9.8*F28*LN((C33+Q28)/(C33+R28)),"")</f>
        <v>3723.4324448830707</v>
      </c>
      <c r="M33" s="1">
        <f>IF(C33,9.8*F29*LN((C33+Q29)/(C33+R29)),"")</f>
        <v>5322.8516272725137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9046.284072155584</v>
      </c>
      <c r="Q33" s="1"/>
      <c r="R33" s="1"/>
      <c r="S33" s="1"/>
      <c r="T33" s="32" t="str">
        <f>IF(OR(F33&lt;1,AND(F33="",G33&lt;1)),"起飞推重比不得小于0，空天飞机除外","")</f>
        <v/>
      </c>
      <c r="U33" s="1"/>
      <c r="V33" s="1"/>
    </row>
    <row r="34" spans="1:22">
      <c r="A34" s="33" t="s">
        <v>45</v>
      </c>
      <c r="B34" s="27" t="s">
        <v>31</v>
      </c>
      <c r="C34" s="9"/>
      <c r="D34" s="1" t="str">
        <f>IF(C34,C34+Q27,"")</f>
        <v/>
      </c>
      <c r="E34" s="72" t="str">
        <f t="shared" ref="E34:E36" si="8">IF(C34,C34/D34,"")</f>
        <v/>
      </c>
      <c r="F34" s="14" t="str">
        <f>IF(AND(C34&lt;&gt;"",N25&lt;&gt;""),(M27/F27*E25+M28/F28*D25)/(C34+Q27),"")</f>
        <v/>
      </c>
      <c r="G34" s="1" t="str">
        <f>IF(C34,IF(AND(F27&lt;&gt;0,C25&lt;&gt;0),M28,M28/F28*D25)/(C34+Q28),"")</f>
        <v/>
      </c>
      <c r="H34" s="1" t="str">
        <f>IF(C34,(M29)/(C34+Q29),"")</f>
        <v/>
      </c>
      <c r="I34" s="1" t="str">
        <f>IF(C34,(M30)/(C34+Q30),"")</f>
        <v/>
      </c>
      <c r="J34" s="1" t="str">
        <f>IF(C34,(M31)/(C34+Q31),"")</f>
        <v/>
      </c>
      <c r="K34" s="14" t="str">
        <f>IF(AND(C34&lt;&gt;"",N25&lt;&gt;""),9.8*N25*LN((C34+Q27)/(C34+R27)),"")</f>
        <v/>
      </c>
      <c r="L34" s="1" t="str">
        <f>IF(C34,9.8*F28*LN((C34+Q28)/(C34+R28)),"")</f>
        <v/>
      </c>
      <c r="M34" s="1" t="str">
        <f>IF(C34,9.8*F29*LN((C34+Q29)/(C34+R29)),"")</f>
        <v/>
      </c>
      <c r="N34" s="1" t="str">
        <f>IF(C34,9.8*F30*LN((C34+Q30)/(C34+R30)),"")</f>
        <v/>
      </c>
      <c r="O34" s="1" t="str">
        <f>IF(C34,9.8*F31*LN((C34+Q31)/(C34+R31)),"")</f>
        <v/>
      </c>
      <c r="P34" s="15" t="str">
        <f>IF(C34,SUM(K34:O34),"")</f>
        <v/>
      </c>
      <c r="Q34" s="1"/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32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/>
      <c r="D36" s="1" t="str">
        <f>IF(C36,C36+Q27,"")</f>
        <v/>
      </c>
      <c r="E36" s="72" t="str">
        <f t="shared" si="8"/>
        <v/>
      </c>
      <c r="F36" s="14" t="str">
        <f>IF(AND(C36&lt;&gt;"",N25&lt;&gt;""),(M27/F27*E25+M28/F28*D25)/(C36+Q27),"")</f>
        <v/>
      </c>
      <c r="G36" s="1" t="str">
        <f>IF(C36,IF(AND(F27&lt;&gt;0,C25&lt;&gt;0),M28,M28/F28*D25)/(C36+Q28),"")</f>
        <v/>
      </c>
      <c r="H36" s="1" t="str">
        <f>IF(C36,(M29)/(C36+Q29),"")</f>
        <v/>
      </c>
      <c r="I36" s="1" t="str">
        <f>IF(C36,(M30)/(C36+Q30),"")</f>
        <v/>
      </c>
      <c r="J36" s="1" t="str">
        <f>IF(C36,(M31)/(C36+Q31),"")</f>
        <v/>
      </c>
      <c r="K36" s="14" t="str">
        <f>IF(AND(C36&lt;&gt;"",N25&lt;&gt;""),9.8*N25*LN((C36+Q27)/(C36+R27)),"")</f>
        <v/>
      </c>
      <c r="L36" s="1" t="str">
        <f>IF(C36,9.8*F28*LN((C36+Q28)/(C36+R28)),"")</f>
        <v/>
      </c>
      <c r="M36" s="1" t="str">
        <f>IF(C36,9.8*F29*LN((C36+Q29)/(C36+R29)),"")</f>
        <v/>
      </c>
      <c r="N36" s="1" t="str">
        <f>IF(C36,9.8*F30*LN((C36+Q30)/(C36+R30)),"")</f>
        <v/>
      </c>
      <c r="O36" s="1" t="str">
        <f>IF(C36,9.8*F31*LN((C36+Q31)/(C36+R31)),"")</f>
        <v/>
      </c>
      <c r="P36" s="15" t="str">
        <f>IF(C36,SUM(K36:O36),"")</f>
        <v/>
      </c>
      <c r="Q36" s="17"/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54</v>
      </c>
      <c r="D37" s="12" t="s">
        <v>28</v>
      </c>
      <c r="E37" s="12" t="s">
        <v>266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>
        <v>150</v>
      </c>
      <c r="D38" s="1">
        <f>IF(C38,C38+Q27,"")</f>
        <v>5050</v>
      </c>
      <c r="E38" s="72">
        <f>IF(C38,C38/D38,"")</f>
        <v>2.9702970297029702E-2</v>
      </c>
      <c r="F38" s="14" t="str">
        <f>IF(AND(C38&lt;&gt;"",N25&lt;&gt;""),(M27/F27*E25+M28/F28*D25)/(C38+U27),"")</f>
        <v/>
      </c>
      <c r="G38" s="1">
        <f>IF(C38,IF(AND(F27&lt;&gt;0,C25&lt;&gt;0),M28,M28/F28*D25)/(C38+U28),"")</f>
        <v>1.5029196669666967</v>
      </c>
      <c r="H38" s="1">
        <f>IF(C38,(M29)/(C38+U29),"")</f>
        <v>1.1703448275862069</v>
      </c>
      <c r="I38" s="1">
        <f>IF(C38,(M30)/(C38+U30),"")</f>
        <v>0</v>
      </c>
      <c r="J38" s="1">
        <f>IF(C38,(M31)/(C38+U31),"")</f>
        <v>0</v>
      </c>
      <c r="K38" s="14" t="str">
        <f>IF(AND(C38&lt;&gt;"",N25&lt;&gt;""),9.8*N25*LN((C38+U27)/(C38+V27)),"")</f>
        <v/>
      </c>
      <c r="L38" s="1">
        <f>IF(C38,9.8*F28*LN((C38+U28)/(C38+V28)),"")</f>
        <v>3331.7790821359504</v>
      </c>
      <c r="M38" s="1">
        <f>IF(C38,9.8*F29*LN((C38+U29)/(C38+V29)),"")</f>
        <v>5659.6200730482642</v>
      </c>
      <c r="N38" s="1">
        <f>IF(C38,9.8*F30*LN((C38+U30)/(C38+V30)),"")</f>
        <v>0</v>
      </c>
      <c r="O38" s="1">
        <f>IF(C38,9.8*F31*LN((C38+U31)/(C38+V31)),"")</f>
        <v>0</v>
      </c>
      <c r="P38" s="15">
        <f>IF(C38,SUM(K38:O38),"")</f>
        <v>8991.3991551842155</v>
      </c>
      <c r="Q38" s="1"/>
      <c r="R38" s="1"/>
      <c r="S38" s="1"/>
      <c r="T38" s="32" t="str">
        <f>IF(OR(F38&lt;1,AND(F38="",G38&lt;1)),"起飞推重比不得小于0，空天飞机除外","")</f>
        <v/>
      </c>
      <c r="U38" s="1"/>
      <c r="V38" s="1"/>
    </row>
    <row r="39" spans="1:22">
      <c r="A39" s="47"/>
      <c r="B39" s="27" t="s">
        <v>31</v>
      </c>
      <c r="C39" s="9"/>
      <c r="D39" s="1" t="str">
        <f>IF(C39,C39+Q27,"")</f>
        <v/>
      </c>
      <c r="E39" s="72" t="str">
        <f t="shared" ref="E39:E41" si="10">IF(C39,C39/D39,"")</f>
        <v/>
      </c>
      <c r="F39" s="14" t="str">
        <f>IF(AND(C39&lt;&gt;"",N25&lt;&gt;""),(M27/F27*E25+M28/F28*D25)/(C39+U27),"")</f>
        <v/>
      </c>
      <c r="G39" s="1" t="str">
        <f>IF(C39,IF(AND(F27&lt;&gt;0,C25&lt;&gt;0),M28,M28/F28*D25)/(C39+U28),"")</f>
        <v/>
      </c>
      <c r="H39" s="1" t="str">
        <f>IF(C39,(M29)/(C39+U29),"")</f>
        <v/>
      </c>
      <c r="I39" s="1" t="str">
        <f>IF(C39,(M30)/(C39+U30),"")</f>
        <v/>
      </c>
      <c r="J39" s="1" t="str">
        <f>IF(C39,(M31)/(C39+U31),"")</f>
        <v/>
      </c>
      <c r="K39" s="14" t="str">
        <f>IF(AND(C39&lt;&gt;"",N25&lt;&gt;""),9.8*N25*LN((C39+U27)/(C39+V27)),"")</f>
        <v/>
      </c>
      <c r="L39" s="1" t="str">
        <f>IF(C39,9.8*F28*LN((C39+U28)/(C39+V28)),"")</f>
        <v/>
      </c>
      <c r="M39" s="1" t="str">
        <f>IF(C39,9.8*F29*LN((C39+U29)/(C39+V29)),"")</f>
        <v/>
      </c>
      <c r="N39" s="1" t="str">
        <f>IF(C39,9.8*F30*LN((C39+U30)/(C39+V30)),"")</f>
        <v/>
      </c>
      <c r="O39" s="1" t="str">
        <f>IF(C39,9.8*F31*LN((C39+U31)/(C39+V31)),"")</f>
        <v/>
      </c>
      <c r="P39" s="15" t="str">
        <f>IF(C39,SUM(K39:O39),"")</f>
        <v/>
      </c>
      <c r="Q39" s="1"/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/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45</v>
      </c>
      <c r="B41" s="49" t="s">
        <v>5</v>
      </c>
      <c r="C41" s="50"/>
      <c r="D41" s="25" t="str">
        <f>IF(C41,C41+Q27,"")</f>
        <v/>
      </c>
      <c r="E41" s="73" t="str">
        <f t="shared" si="10"/>
        <v/>
      </c>
      <c r="F41" s="70" t="str">
        <f>IF(AND(C41&lt;&gt;"",N25&lt;&gt;""),(M27/F27*E25+M28/F28*D25)/(C41+U27),"")</f>
        <v/>
      </c>
      <c r="G41" s="25" t="str">
        <f>IF(C41,IF(AND(F27&lt;&gt;0,C25&lt;&gt;0),M28,M28/F28*D25)/(C41+U28),"")</f>
        <v/>
      </c>
      <c r="H41" s="25" t="str">
        <f>IF(C41,(M29)/(C41+U29),"")</f>
        <v/>
      </c>
      <c r="I41" s="25" t="str">
        <f>IF(C41,(M30)/(C41+U30),"")</f>
        <v/>
      </c>
      <c r="J41" s="25" t="str">
        <f>IF(C41,(M31)/(C41+U31),"")</f>
        <v/>
      </c>
      <c r="K41" s="70" t="str">
        <f>IF(AND(C41&lt;&gt;"",N25&lt;&gt;""),9.8*N25*LN((C41+U27)/(C41+V27)),"")</f>
        <v/>
      </c>
      <c r="L41" s="25" t="str">
        <f>IF(C41,9.8*F28*LN((C41+U28)/(C41+V28)),"")</f>
        <v/>
      </c>
      <c r="M41" s="25" t="str">
        <f>IF(C41,9.8*F29*LN((C41+U29)/(C41+V29)),"")</f>
        <v/>
      </c>
      <c r="N41" s="25" t="str">
        <f>IF(C41,9.8*F30*LN((C41+U30)/(C41+V30)),"")</f>
        <v/>
      </c>
      <c r="O41" s="25" t="str">
        <f>IF(C41,9.8*F31*LN((C41+U31)/(C41+V31)),"")</f>
        <v/>
      </c>
      <c r="P41" s="71" t="str">
        <f>IF(C41,SUM(K41:O41),"")</f>
        <v/>
      </c>
      <c r="Q41" s="25"/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145</v>
      </c>
      <c r="B43" s="52"/>
      <c r="C43" s="29" t="s">
        <v>0</v>
      </c>
      <c r="D43" s="90" t="s">
        <v>41</v>
      </c>
      <c r="E43" s="90"/>
      <c r="F43" s="62"/>
      <c r="G43" s="63" t="s">
        <v>167</v>
      </c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146</v>
      </c>
      <c r="B44" s="39"/>
      <c r="C44" s="2">
        <v>0</v>
      </c>
      <c r="D44" s="2">
        <v>284.2</v>
      </c>
      <c r="E44" s="2">
        <v>0</v>
      </c>
      <c r="F44" s="41"/>
      <c r="G44" s="61" t="s">
        <v>155</v>
      </c>
      <c r="H44" s="42"/>
      <c r="I44" s="24" t="s">
        <v>309</v>
      </c>
      <c r="J44" s="24"/>
      <c r="K44" s="24"/>
      <c r="L44" s="55">
        <f>IFERROR(IF(AND(F46&lt;&gt;0,C44&lt;&gt;0),M46/F46*E44+M47/F47*D44,M47/F47*D44),0)</f>
        <v>4670.9904462602144</v>
      </c>
      <c r="M44" s="53" t="s">
        <v>45</v>
      </c>
      <c r="N44" s="17" t="str">
        <f>IF(AND(F46&lt;&gt;0,C44&lt;&gt;0),(M46+M47)/(M46/F46+M47/F47),"")</f>
        <v/>
      </c>
      <c r="O44" s="56" t="s">
        <v>45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1</v>
      </c>
      <c r="D45" s="1" t="s">
        <v>2</v>
      </c>
      <c r="E45" s="1" t="s">
        <v>7</v>
      </c>
      <c r="F45" s="1" t="s">
        <v>8</v>
      </c>
      <c r="G45" s="1" t="s">
        <v>43</v>
      </c>
      <c r="H45" s="1" t="s">
        <v>44</v>
      </c>
      <c r="I45" s="60" t="str">
        <f>HYPERLINK("https://sci-hub.hkvisa.net/10.1016/j.actaastro.2017.10.007","The soviet manned lunar program N1-L3")</f>
        <v>The soviet manned lunar program N1-L3</v>
      </c>
      <c r="J45" s="24"/>
      <c r="K45" s="24"/>
      <c r="L45" s="11" t="s">
        <v>6</v>
      </c>
      <c r="M45" s="12" t="s">
        <v>69</v>
      </c>
      <c r="N45" s="12" t="s">
        <v>13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12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/>
      <c r="D46" s="4"/>
      <c r="E46" s="4"/>
      <c r="F46" s="4"/>
      <c r="G46" s="19"/>
      <c r="H46" s="20"/>
      <c r="I46" s="60" t="s">
        <v>165</v>
      </c>
      <c r="J46" s="24"/>
      <c r="K46" s="24"/>
      <c r="L46" s="14">
        <f>C46*C44</f>
        <v>0</v>
      </c>
      <c r="M46" s="1">
        <f>E46*C44</f>
        <v>0</v>
      </c>
      <c r="N46" s="1">
        <f>IF(D46,L46/D46,0)</f>
        <v>0</v>
      </c>
      <c r="O46" s="15">
        <f>L46-N46</f>
        <v>0</v>
      </c>
      <c r="P46" s="14">
        <f>IF(AND(F46&lt;&gt;0,C44&lt;&gt;0),O46/M46*F46/IF(G46,G46,1),0)</f>
        <v>0</v>
      </c>
      <c r="Q46" s="1">
        <f>SUM(L46:L50)</f>
        <v>2629.3999999999996</v>
      </c>
      <c r="R46" s="15">
        <f>N46+Q47</f>
        <v>2629.3999999999996</v>
      </c>
      <c r="S46" s="14">
        <f>N46+H46*O46</f>
        <v>0</v>
      </c>
      <c r="T46" s="1">
        <f>IF(AND(F46&lt;&gt;0,C44&lt;&gt;0),(1-H46)*O46/M46*F46/IF(G46,G46,1),0)</f>
        <v>0</v>
      </c>
      <c r="U46" s="1">
        <f>SUM(L46:L50)</f>
        <v>2629.3999999999996</v>
      </c>
      <c r="V46" s="1">
        <f>S46+U47</f>
        <v>2629.3999999999996</v>
      </c>
    </row>
    <row r="47" spans="1:22">
      <c r="A47" s="47"/>
      <c r="B47" s="27">
        <v>1</v>
      </c>
      <c r="C47" s="5">
        <v>1880</v>
      </c>
      <c r="D47" s="1">
        <v>14.46</v>
      </c>
      <c r="E47" s="1">
        <v>5229.8</v>
      </c>
      <c r="F47" s="1">
        <v>318.2</v>
      </c>
      <c r="G47" s="5"/>
      <c r="H47" s="21"/>
      <c r="I47" s="30" t="s">
        <v>152</v>
      </c>
      <c r="J47" s="30"/>
      <c r="K47" s="30"/>
      <c r="L47" s="14">
        <f>C47</f>
        <v>1880</v>
      </c>
      <c r="M47" s="1">
        <f>E47</f>
        <v>5229.8</v>
      </c>
      <c r="N47" s="1">
        <f>IF(D47,L47/D47,0)</f>
        <v>130.01383125864453</v>
      </c>
      <c r="O47" s="15">
        <f>L47-N47</f>
        <v>1749.9861687413554</v>
      </c>
      <c r="P47" s="14">
        <f t="shared" ref="P47:P50" si="12">IF(F47,O47/M47*F47/IF(G47,G47,1),0)</f>
        <v>106.4755055439021</v>
      </c>
      <c r="Q47" s="1">
        <f>IF(F47,SUM(L47:L50)-P46*M47/F47*IF(G47,G47,1),0)</f>
        <v>2629.3999999999996</v>
      </c>
      <c r="R47" s="15">
        <f>N47+Q48</f>
        <v>879.41383125864468</v>
      </c>
      <c r="S47" s="14">
        <f>N47+H47*O47</f>
        <v>130.01383125864453</v>
      </c>
      <c r="T47" s="1">
        <f>IF(F47,(1-H47)*O47/M47*F47/IF(G47,G47,1),0)</f>
        <v>106.4755055439021</v>
      </c>
      <c r="U47" s="1">
        <f>IF(F47,SUM(L47:L50)-T46*M47/F47*IF(G47,G47,1),0)</f>
        <v>2629.3999999999996</v>
      </c>
      <c r="V47" s="1">
        <f>S47+U48</f>
        <v>879.41383125864468</v>
      </c>
    </row>
    <row r="48" spans="1:22">
      <c r="A48" s="47"/>
      <c r="B48" s="27">
        <v>2</v>
      </c>
      <c r="C48" s="5">
        <v>560.70000000000005</v>
      </c>
      <c r="D48" s="1">
        <v>10.07</v>
      </c>
      <c r="E48" s="1">
        <v>1435.1</v>
      </c>
      <c r="F48" s="31">
        <v>325.2</v>
      </c>
      <c r="G48" s="5"/>
      <c r="H48" s="21"/>
      <c r="I48" s="30" t="s">
        <v>154</v>
      </c>
      <c r="J48" s="30"/>
      <c r="K48" s="30"/>
      <c r="L48" s="14">
        <f>C48</f>
        <v>560.70000000000005</v>
      </c>
      <c r="M48" s="1">
        <f>E48</f>
        <v>1435.1</v>
      </c>
      <c r="N48" s="1">
        <f>IF(D48,L48/D48,0)</f>
        <v>55.680238331678254</v>
      </c>
      <c r="O48" s="15">
        <f>L48-N48</f>
        <v>505.01976166832179</v>
      </c>
      <c r="P48" s="14">
        <f t="shared" si="12"/>
        <v>114.43970907570082</v>
      </c>
      <c r="Q48" s="1">
        <f>SUM(L48:L50)</f>
        <v>749.40000000000009</v>
      </c>
      <c r="R48" s="15">
        <f>N48+Q49</f>
        <v>244.38023833167824</v>
      </c>
      <c r="S48" s="14">
        <f>N48+H48*O48</f>
        <v>55.680238331678254</v>
      </c>
      <c r="T48" s="1">
        <f t="shared" ref="T48:T50" si="13">IF(F48,(1-H48)*O48/M48*F48/IF(G48,G48,1),0)</f>
        <v>114.43970907570082</v>
      </c>
      <c r="U48" s="1">
        <f>SUM(L48:L50)</f>
        <v>749.40000000000009</v>
      </c>
      <c r="V48" s="1">
        <f>S48+U49</f>
        <v>244.38023833167824</v>
      </c>
    </row>
    <row r="49" spans="1:22">
      <c r="A49" s="33" t="s">
        <v>45</v>
      </c>
      <c r="B49" s="27">
        <v>3</v>
      </c>
      <c r="C49" s="5">
        <v>188.7</v>
      </c>
      <c r="D49" s="31">
        <v>13.7</v>
      </c>
      <c r="E49" s="31">
        <v>184.1</v>
      </c>
      <c r="F49" s="31">
        <v>348</v>
      </c>
      <c r="G49" s="5"/>
      <c r="H49" s="21"/>
      <c r="I49" s="30" t="s">
        <v>170</v>
      </c>
      <c r="J49" s="30"/>
      <c r="K49" s="30"/>
      <c r="L49" s="14">
        <f>C49</f>
        <v>188.7</v>
      </c>
      <c r="M49" s="1">
        <f>E49</f>
        <v>184.1</v>
      </c>
      <c r="N49" s="1">
        <f>IF(D49,L49/D49,0)</f>
        <v>13.773722627737227</v>
      </c>
      <c r="O49" s="15">
        <f>L49-N49</f>
        <v>174.92627737226277</v>
      </c>
      <c r="P49" s="14">
        <f t="shared" si="12"/>
        <v>330.65912289813929</v>
      </c>
      <c r="Q49" s="1">
        <f>SUM(L49:L50)</f>
        <v>188.7</v>
      </c>
      <c r="R49" s="15">
        <f>N49+Q50</f>
        <v>13.773722627737227</v>
      </c>
      <c r="S49" s="14">
        <f>N49+H49*O49</f>
        <v>13.773722627737227</v>
      </c>
      <c r="T49" s="1">
        <f t="shared" si="13"/>
        <v>330.65912289813929</v>
      </c>
      <c r="U49" s="1">
        <f>SUM(L49:L50)</f>
        <v>188.7</v>
      </c>
      <c r="V49" s="1">
        <f>S49+U50</f>
        <v>13.773722627737227</v>
      </c>
    </row>
    <row r="50" spans="1:22" ht="15" thickBot="1">
      <c r="A50" s="40"/>
      <c r="B50" s="28">
        <v>4</v>
      </c>
      <c r="C50" s="6"/>
      <c r="D50" s="7"/>
      <c r="E50" s="7"/>
      <c r="F50" s="7"/>
      <c r="G50" s="22"/>
      <c r="H50" s="23"/>
      <c r="I50" s="30"/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2" ht="15" thickBot="1">
      <c r="A51" s="47"/>
      <c r="B51" s="26" t="s">
        <v>38</v>
      </c>
      <c r="C51" s="1" t="s">
        <v>4</v>
      </c>
      <c r="D51" s="1" t="s">
        <v>28</v>
      </c>
      <c r="E51" s="1" t="s">
        <v>265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264</v>
      </c>
    </row>
    <row r="52" spans="1:22">
      <c r="A52" s="47"/>
      <c r="B52" s="27" t="s">
        <v>30</v>
      </c>
      <c r="C52" s="8">
        <v>95</v>
      </c>
      <c r="D52" s="1">
        <f>IF(C52,C52+Q46,"")</f>
        <v>2724.3999999999996</v>
      </c>
      <c r="E52" s="72">
        <f>IF(C52,C52/D52,"")</f>
        <v>3.4870063133166943E-2</v>
      </c>
      <c r="F52" s="14" t="str">
        <f>IF(AND(C52&lt;&gt;"",N44&lt;&gt;""),(M46/F46*E44+M47/F47*D44)/(C52+Q46),"")</f>
        <v/>
      </c>
      <c r="G52" s="1">
        <f>IF(C52,IF(AND(F46&lt;&gt;0,C44&lt;&gt;0),M47,M47/F47*D44)/(C52+Q47),"")</f>
        <v>1.714502439531719</v>
      </c>
      <c r="H52" s="1">
        <f>IF(C52,(M48)/(C52+Q48),"")</f>
        <v>1.6995499763145425</v>
      </c>
      <c r="I52" s="1">
        <f>IF(C52,(M49)/(C52+Q49),"")</f>
        <v>0.6489249206908706</v>
      </c>
      <c r="J52" s="1">
        <f>IF(C52,(M50)/(C52+Q50),"")</f>
        <v>0</v>
      </c>
      <c r="K52" s="14" t="str">
        <f>IF(AND(C52&lt;&gt;"",N44&lt;&gt;""),9.8*N44*LN((C52+Q46)/(C52+R46)),"")</f>
        <v/>
      </c>
      <c r="L52" s="1">
        <f>IF(C52,9.8*F47*LN((C52+Q47)/(C52+R47)),"")</f>
        <v>3206.1961180080111</v>
      </c>
      <c r="M52" s="1">
        <f>IF(C52,9.8*F48*LN((C52+Q48)/(C52+R48)),"")</f>
        <v>2904.9305808757304</v>
      </c>
      <c r="N52" s="1">
        <f>IF(C52,9.8*F49*LN((C52+Q49)/(C52+R49)),"")</f>
        <v>3269.3716267873806</v>
      </c>
      <c r="O52" s="1">
        <f>IF(C52,9.8*F50*LN((C52+Q50)/(C52+R50)),"")</f>
        <v>0</v>
      </c>
      <c r="P52" s="15">
        <f>IF(C52,SUM(K52:O52),"")</f>
        <v>9380.4983256711221</v>
      </c>
      <c r="Q52" s="1"/>
      <c r="R52" s="1"/>
      <c r="S52" s="1"/>
      <c r="T52" s="32" t="str">
        <f>IF(OR(F52&lt;1,AND(F52="",G52&lt;1)),"起飞推重比不得小于0，空天飞机除外","")</f>
        <v/>
      </c>
      <c r="U52" s="1"/>
      <c r="V52" s="1"/>
    </row>
    <row r="53" spans="1:22">
      <c r="A53" s="33" t="s">
        <v>45</v>
      </c>
      <c r="B53" s="27" t="s">
        <v>31</v>
      </c>
      <c r="C53" s="9"/>
      <c r="D53" s="1" t="str">
        <f>IF(C53,C53+Q46,"")</f>
        <v/>
      </c>
      <c r="E53" s="72" t="str">
        <f t="shared" ref="E53:E55" si="14">IF(C53,C53/D53,"")</f>
        <v/>
      </c>
      <c r="F53" s="14" t="str">
        <f>IF(AND(C53&lt;&gt;"",N44&lt;&gt;""),(M46/F46*E44+M47/F47*D44)/(C53+Q46),"")</f>
        <v/>
      </c>
      <c r="G53" s="1" t="str">
        <f>IF(C53,IF(AND(F46&lt;&gt;0,C44&lt;&gt;0),M47,M47/F47*D44)/(C53+Q47),"")</f>
        <v/>
      </c>
      <c r="H53" s="1" t="str">
        <f>IF(C53,(M48)/(C53+Q48),"")</f>
        <v/>
      </c>
      <c r="I53" s="1" t="str">
        <f>IF(C53,(M49)/(C53+Q49),"")</f>
        <v/>
      </c>
      <c r="J53" s="1" t="str">
        <f>IF(C53,(M50)/(C53+Q50),"")</f>
        <v/>
      </c>
      <c r="K53" s="14" t="str">
        <f>IF(AND(C53&lt;&gt;"",N44&lt;&gt;""),9.8*N44*LN((C53+Q46)/(C53+R46)),"")</f>
        <v/>
      </c>
      <c r="L53" s="1" t="str">
        <f>IF(C53,9.8*F47*LN((C53+Q47)/(C53+R47)),"")</f>
        <v/>
      </c>
      <c r="M53" s="1" t="str">
        <f>IF(C53,9.8*F48*LN((C53+Q48)/(C53+R48)),"")</f>
        <v/>
      </c>
      <c r="N53" s="1" t="str">
        <f>IF(C53,9.8*F49*LN((C53+Q49)/(C53+R49)),"")</f>
        <v/>
      </c>
      <c r="O53" s="1" t="str">
        <f>IF(C53,9.8*F50*LN((C53+Q50)/(C53+R50)),"")</f>
        <v/>
      </c>
      <c r="P53" s="15" t="str">
        <f>IF(C53,SUM(K53:O53),"")</f>
        <v/>
      </c>
      <c r="Q53" s="1"/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</row>
    <row r="54" spans="1:22">
      <c r="A54" s="40"/>
      <c r="B54" s="27" t="s">
        <v>32</v>
      </c>
      <c r="C54" s="9">
        <v>23.5</v>
      </c>
      <c r="D54" s="1">
        <f>IF(C54,C54+Q46,"")</f>
        <v>2652.8999999999996</v>
      </c>
      <c r="E54" s="72">
        <f t="shared" si="14"/>
        <v>8.8582306155527927E-3</v>
      </c>
      <c r="F54" s="14" t="str">
        <f>IF(AND(C54&lt;&gt;"",N44&lt;&gt;""),(M46/F46*E44+M47/F47*D44)/(C54+Q46),"")</f>
        <v/>
      </c>
      <c r="G54" s="1">
        <f>IF(C54,IF(AND(F46&lt;&gt;0,C44&lt;&gt;0),M47,M47/F47*D44)/(C54+Q47),"")</f>
        <v>1.7607110883411419</v>
      </c>
      <c r="H54" s="1">
        <f>IF(C54,(M48)/(C54+Q48),"")</f>
        <v>1.856773191874757</v>
      </c>
      <c r="I54" s="1">
        <f>IF(C54,(M49)/(C54+Q49),"")</f>
        <v>0.86757775683317628</v>
      </c>
      <c r="J54" s="1">
        <f>IF(C54,(M50)/(C54+Q50),"")</f>
        <v>0</v>
      </c>
      <c r="K54" s="14" t="str">
        <f>IF(AND(C54&lt;&gt;"",N44&lt;&gt;""),9.8*N44*LN((C54+Q46)/(C54+R46)),"")</f>
        <v/>
      </c>
      <c r="L54" s="1">
        <f>IF(C54,9.8*F47*LN((C54+Q47)/(C54+R47)),"")</f>
        <v>3360.9108316886632</v>
      </c>
      <c r="M54" s="1">
        <f>IF(C54,9.8*F48*LN((C54+Q48)/(C54+R48)),"")</f>
        <v>3376.9336191657208</v>
      </c>
      <c r="N54" s="1">
        <f>IF(C54,9.8*F49*LN((C54+Q49)/(C54+R49)),"")</f>
        <v>5931.5062615693978</v>
      </c>
      <c r="O54" s="1">
        <f>IF(C54,9.8*F50*LN((C54+Q50)/(C54+R50)),"")</f>
        <v>0</v>
      </c>
      <c r="P54" s="15">
        <f>IF(C54,SUM(K54:O54),"")</f>
        <v>12669.35071242378</v>
      </c>
      <c r="Q54" s="1" t="s">
        <v>267</v>
      </c>
      <c r="R54" s="1"/>
      <c r="S54" s="1"/>
      <c r="T54" s="32" t="str">
        <f t="shared" si="15"/>
        <v/>
      </c>
      <c r="U54" s="1"/>
      <c r="V54" s="1"/>
    </row>
    <row r="55" spans="1:22" ht="15" thickBot="1">
      <c r="A55" s="47"/>
      <c r="B55" s="28" t="s">
        <v>5</v>
      </c>
      <c r="C55" s="10"/>
      <c r="D55" s="1" t="str">
        <f>IF(C55,C55+Q46,"")</f>
        <v/>
      </c>
      <c r="E55" s="72" t="str">
        <f t="shared" si="14"/>
        <v/>
      </c>
      <c r="F55" s="14" t="str">
        <f>IF(AND(C55&lt;&gt;"",N44&lt;&gt;""),(M46/F46*E44+M47/F47*D44)/(C55+Q46),"")</f>
        <v/>
      </c>
      <c r="G55" s="1" t="str">
        <f>IF(C55,IF(AND(F46&lt;&gt;0,C44&lt;&gt;0),M47,M47/F47*D44)/(C55+Q47),"")</f>
        <v/>
      </c>
      <c r="H55" s="1" t="str">
        <f>IF(C55,(M48)/(C55+Q48),"")</f>
        <v/>
      </c>
      <c r="I55" s="1" t="str">
        <f>IF(C55,(M49)/(C55+Q49),"")</f>
        <v/>
      </c>
      <c r="J55" s="1" t="str">
        <f>IF(C55,(M50)/(C55+Q50),"")</f>
        <v/>
      </c>
      <c r="K55" s="14" t="str">
        <f>IF(AND(C55&lt;&gt;"",N44&lt;&gt;""),9.8*N44*LN((C55+Q46)/(C55+R46)),"")</f>
        <v/>
      </c>
      <c r="L55" s="1" t="str">
        <f>IF(C55,9.8*F47*LN((C55+Q47)/(C55+R47)),"")</f>
        <v/>
      </c>
      <c r="M55" s="1" t="str">
        <f>IF(C55,9.8*F48*LN((C55+Q48)/(C55+R48)),"")</f>
        <v/>
      </c>
      <c r="N55" s="1" t="str">
        <f>IF(C55,9.8*F49*LN((C55+Q49)/(C55+R49)),"")</f>
        <v/>
      </c>
      <c r="O55" s="1" t="str">
        <f>IF(C55,9.8*F50*LN((C55+Q50)/(C55+R50)),"")</f>
        <v/>
      </c>
      <c r="P55" s="15" t="str">
        <f>IF(C55,SUM(K55:O55),"")</f>
        <v/>
      </c>
      <c r="Q55" s="17" t="s">
        <v>268</v>
      </c>
      <c r="R55" s="17"/>
      <c r="S55" s="17"/>
      <c r="T55" s="32" t="str">
        <f t="shared" si="15"/>
        <v/>
      </c>
      <c r="U55" s="1"/>
      <c r="V55" s="1"/>
    </row>
    <row r="56" spans="1:22" ht="15" thickBot="1">
      <c r="A56" s="33" t="s">
        <v>45</v>
      </c>
      <c r="B56" s="26" t="s">
        <v>37</v>
      </c>
      <c r="C56" s="1" t="s">
        <v>9</v>
      </c>
      <c r="D56" s="12" t="s">
        <v>28</v>
      </c>
      <c r="E56" s="12" t="s">
        <v>266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2">
      <c r="A57" s="40"/>
      <c r="B57" s="27" t="s">
        <v>30</v>
      </c>
      <c r="C57" s="8"/>
      <c r="D57" s="1" t="str">
        <f>IF(C57,C57+Q46,"")</f>
        <v/>
      </c>
      <c r="E57" s="72" t="str">
        <f>IF(C57,C57/D57,"")</f>
        <v/>
      </c>
      <c r="F57" s="14" t="str">
        <f>IF(AND(C57&lt;&gt;"",N44&lt;&gt;""),(M46/F46*E44+M47/F47*D44)/(C57+U46),"")</f>
        <v/>
      </c>
      <c r="G57" s="1" t="str">
        <f>IF(C57,IF(AND(F46&lt;&gt;0,C44&lt;&gt;0),M47,M47/F47*D44)/(C57+U47),"")</f>
        <v/>
      </c>
      <c r="H57" s="1" t="str">
        <f>IF(C57,(M48)/(C57+U48),"")</f>
        <v/>
      </c>
      <c r="I57" s="1" t="str">
        <f>IF(C57,(M49)/(C57+U49),"")</f>
        <v/>
      </c>
      <c r="J57" s="1" t="str">
        <f>IF(C57,(M50)/(C57+U50),"")</f>
        <v/>
      </c>
      <c r="K57" s="14" t="str">
        <f>IF(AND(C57&lt;&gt;"",N44&lt;&gt;""),9.8*N44*LN((C57+U46)/(C57+V46)),"")</f>
        <v/>
      </c>
      <c r="L57" s="1" t="str">
        <f>IF(C57,9.8*F47*LN((C57+U47)/(C57+V47)),"")</f>
        <v/>
      </c>
      <c r="M57" s="1" t="str">
        <f>IF(C57,9.8*F48*LN((C57+U48)/(C57+V48)),"")</f>
        <v/>
      </c>
      <c r="N57" s="1" t="str">
        <f>IF(C57,9.8*F49*LN((C57+U49)/(C57+V49)),"")</f>
        <v/>
      </c>
      <c r="O57" s="1" t="str">
        <f>IF(C57,9.8*F50*LN((C57+U50)/(C57+V50)),"")</f>
        <v/>
      </c>
      <c r="P57" s="15" t="str">
        <f>IF(C57,SUM(K57:O57),"")</f>
        <v/>
      </c>
      <c r="Q57" s="1"/>
      <c r="R57" s="1"/>
      <c r="S57" s="1"/>
      <c r="T57" s="32" t="str">
        <f>IF(OR(F57&lt;1,AND(F57="",G57&lt;1)),"起飞推重比不得小于0，空天飞机除外","")</f>
        <v/>
      </c>
      <c r="U57" s="1"/>
      <c r="V57" s="1"/>
    </row>
    <row r="58" spans="1:22">
      <c r="A58" s="47"/>
      <c r="B58" s="27" t="s">
        <v>31</v>
      </c>
      <c r="C58" s="9"/>
      <c r="D58" s="1" t="str">
        <f>IF(C58,C58+Q46,"")</f>
        <v/>
      </c>
      <c r="E58" s="72" t="str">
        <f t="shared" ref="E58:E60" si="16">IF(C58,C58/D58,"")</f>
        <v/>
      </c>
      <c r="F58" s="14" t="str">
        <f>IF(AND(C58&lt;&gt;"",N44&lt;&gt;""),(M46/F46*E44+M47/F47*D44)/(C58+U46),"")</f>
        <v/>
      </c>
      <c r="G58" s="1" t="str">
        <f>IF(C58,IF(AND(F46&lt;&gt;0,C44&lt;&gt;0),M47,M47/F47*D44)/(C58+U47),"")</f>
        <v/>
      </c>
      <c r="H58" s="1" t="str">
        <f>IF(C58,(M48)/(C58+U48),"")</f>
        <v/>
      </c>
      <c r="I58" s="1" t="str">
        <f>IF(C58,(M49)/(C58+U49),"")</f>
        <v/>
      </c>
      <c r="J58" s="1" t="str">
        <f>IF(C58,(M50)/(C58+U50),"")</f>
        <v/>
      </c>
      <c r="K58" s="14" t="str">
        <f>IF(AND(C58&lt;&gt;"",N44&lt;&gt;""),9.8*N44*LN((C58+U46)/(C58+V46)),"")</f>
        <v/>
      </c>
      <c r="L58" s="1" t="str">
        <f>IF(C58,9.8*F47*LN((C58+U47)/(C58+V47)),"")</f>
        <v/>
      </c>
      <c r="M58" s="1" t="str">
        <f>IF(C58,9.8*F48*LN((C58+U48)/(C58+V48)),"")</f>
        <v/>
      </c>
      <c r="N58" s="1" t="str">
        <f>IF(C58,9.8*F49*LN((C58+U49)/(C58+V49)),"")</f>
        <v/>
      </c>
      <c r="O58" s="1" t="str">
        <f>IF(C58,9.8*F50*LN((C58+U50)/(C58+V50)),"")</f>
        <v/>
      </c>
      <c r="P58" s="15" t="str">
        <f>IF(C58,SUM(K58:O58),"")</f>
        <v/>
      </c>
      <c r="Q58" s="1"/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2">
      <c r="A59" s="47"/>
      <c r="B59" s="27" t="s">
        <v>32</v>
      </c>
      <c r="C59" s="9"/>
      <c r="D59" s="1" t="str">
        <f>IF(C59,C59+Q46,"")</f>
        <v/>
      </c>
      <c r="E59" s="72" t="str">
        <f t="shared" si="16"/>
        <v/>
      </c>
      <c r="F59" s="14" t="str">
        <f>IF(AND(C59&lt;&gt;"",N44&lt;&gt;""),(M46/F46*E44+M47/F47*D44)/(C59+U46),"")</f>
        <v/>
      </c>
      <c r="G59" s="1" t="str">
        <f>IF(C59,IF(AND(F46&lt;&gt;0,C44&lt;&gt;0),M47,M47/F47*D44)/(C59+U47),"")</f>
        <v/>
      </c>
      <c r="H59" s="1" t="str">
        <f>IF(C59,(M48)/(C59+U48),"")</f>
        <v/>
      </c>
      <c r="I59" s="1" t="str">
        <f>IF(C59,(M49)/(C59+U49),"")</f>
        <v/>
      </c>
      <c r="J59" s="1" t="str">
        <f>IF(C59,(M50)/(C59+U50),"")</f>
        <v/>
      </c>
      <c r="K59" s="14" t="str">
        <f>IF(AND(C59&lt;&gt;"",N44&lt;&gt;""),9.8*N44*LN((C59+U46)/(C59+V46)),"")</f>
        <v/>
      </c>
      <c r="L59" s="1" t="str">
        <f>IF(C59,9.8*F47*LN((C59+U47)/(C59+V47)),"")</f>
        <v/>
      </c>
      <c r="M59" s="1" t="str">
        <f>IF(C59,9.8*F48*LN((C59+U48)/(C59+V48)),"")</f>
        <v/>
      </c>
      <c r="N59" s="1" t="str">
        <f>IF(C59,9.8*F49*LN((C59+U49)/(C59+V49)),"")</f>
        <v/>
      </c>
      <c r="O59" s="1" t="str">
        <f>IF(C59,9.8*F50*LN((C59+U50)/(C59+V50)),"")</f>
        <v/>
      </c>
      <c r="P59" s="15" t="str">
        <f>IF(C59,SUM(K59:O59),"")</f>
        <v/>
      </c>
      <c r="Q59" s="1"/>
      <c r="R59" s="1"/>
      <c r="S59" s="1"/>
      <c r="T59" s="32" t="str">
        <f t="shared" si="17"/>
        <v/>
      </c>
      <c r="U59" s="1"/>
      <c r="V59" s="1"/>
    </row>
    <row r="60" spans="1:22" ht="15" thickBot="1">
      <c r="A60" s="48" t="s">
        <v>45</v>
      </c>
      <c r="B60" s="49" t="s">
        <v>5</v>
      </c>
      <c r="C60" s="50"/>
      <c r="D60" s="25" t="str">
        <f>IF(C60,C60+Q46,"")</f>
        <v/>
      </c>
      <c r="E60" s="73" t="str">
        <f t="shared" si="16"/>
        <v/>
      </c>
      <c r="F60" s="70" t="str">
        <f>IF(AND(C60&lt;&gt;"",N44&lt;&gt;""),(M46/F46*E44+M47/F47*D44)/(C60+U46),"")</f>
        <v/>
      </c>
      <c r="G60" s="25" t="str">
        <f>IF(C60,IF(AND(F46&lt;&gt;0,C44&lt;&gt;0),M47,M47/F47*D44)/(C60+U47),"")</f>
        <v/>
      </c>
      <c r="H60" s="25" t="str">
        <f>IF(C60,(M48)/(C60+U48),"")</f>
        <v/>
      </c>
      <c r="I60" s="25" t="str">
        <f>IF(C60,(M49)/(C60+U49),"")</f>
        <v/>
      </c>
      <c r="J60" s="25" t="str">
        <f>IF(C60,(M50)/(C60+U50),"")</f>
        <v/>
      </c>
      <c r="K60" s="70" t="str">
        <f>IF(AND(C60&lt;&gt;"",N44&lt;&gt;""),9.8*N44*LN((C60+U46)/(C60+V46)),"")</f>
        <v/>
      </c>
      <c r="L60" s="25" t="str">
        <f>IF(C60,9.8*F47*LN((C60+U47)/(C60+V47)),"")</f>
        <v/>
      </c>
      <c r="M60" s="25" t="str">
        <f>IF(C60,9.8*F48*LN((C60+U48)/(C60+V48)),"")</f>
        <v/>
      </c>
      <c r="N60" s="25" t="str">
        <f>IF(C60,9.8*F49*LN((C60+U49)/(C60+V49)),"")</f>
        <v/>
      </c>
      <c r="O60" s="25" t="str">
        <f>IF(C60,9.8*F50*LN((C60+U50)/(C60+V50)),"")</f>
        <v/>
      </c>
      <c r="P60" s="71" t="str">
        <f>IF(C60,SUM(K60:O60),"")</f>
        <v/>
      </c>
      <c r="Q60" s="25"/>
      <c r="R60" s="25"/>
      <c r="S60" s="25"/>
      <c r="T60" s="51" t="str">
        <f t="shared" si="17"/>
        <v/>
      </c>
      <c r="U60" s="25"/>
      <c r="V60" s="25"/>
    </row>
    <row r="61" spans="1:22" ht="15" thickBot="1"/>
    <row r="62" spans="1:22" ht="15" thickBot="1">
      <c r="A62" s="52" t="s">
        <v>163</v>
      </c>
      <c r="B62" s="52"/>
      <c r="C62" s="29" t="s">
        <v>0</v>
      </c>
      <c r="D62" s="90" t="s">
        <v>41</v>
      </c>
      <c r="E62" s="90"/>
      <c r="F62" s="62"/>
      <c r="G62" s="63" t="s">
        <v>167</v>
      </c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2" ht="15" thickBot="1">
      <c r="A63" s="40" t="s">
        <v>164</v>
      </c>
      <c r="B63" s="39"/>
      <c r="C63" s="2">
        <v>0</v>
      </c>
      <c r="D63" s="2">
        <v>284.2</v>
      </c>
      <c r="E63" s="2">
        <v>0</v>
      </c>
      <c r="F63" s="41"/>
      <c r="G63" s="61" t="s">
        <v>166</v>
      </c>
      <c r="H63" s="42"/>
      <c r="I63" s="24" t="s">
        <v>150</v>
      </c>
      <c r="J63" s="24"/>
      <c r="K63" s="24"/>
      <c r="L63" s="55">
        <f>IFERROR(IF(AND(F65&lt;&gt;0,C63&lt;&gt;0),M65/F65*E63+M66/F66*D63,M66/F66*D63),0)</f>
        <v>4670.9904462602144</v>
      </c>
      <c r="M63" s="53" t="s">
        <v>45</v>
      </c>
      <c r="N63" s="17" t="str">
        <f>IF(AND(F65&lt;&gt;0,C63&lt;&gt;0),(M65+M66)/(M65/F65+M66/F66),"")</f>
        <v/>
      </c>
      <c r="O63" s="56" t="s">
        <v>45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2" ht="15" thickBot="1">
      <c r="A64" s="33" t="s">
        <v>45</v>
      </c>
      <c r="B64" s="26" t="s">
        <v>39</v>
      </c>
      <c r="C64" s="1" t="s">
        <v>60</v>
      </c>
      <c r="D64" s="1" t="s">
        <v>61</v>
      </c>
      <c r="E64" s="1" t="s">
        <v>62</v>
      </c>
      <c r="F64" s="1" t="s">
        <v>63</v>
      </c>
      <c r="G64" s="1" t="s">
        <v>64</v>
      </c>
      <c r="H64" s="1" t="s">
        <v>65</v>
      </c>
      <c r="I64" s="60" t="str">
        <f>HYPERLINK("https://sci-hub.hkvisa.net/10.1016/j.actaastro.2017.10.007","The soviet manned lunar program N1-L3")</f>
        <v>The soviet manned lunar program N1-L3</v>
      </c>
      <c r="J64" s="24"/>
      <c r="K64" s="24"/>
      <c r="L64" s="11" t="s">
        <v>6</v>
      </c>
      <c r="M64" s="12" t="s">
        <v>69</v>
      </c>
      <c r="N64" s="12" t="s">
        <v>13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12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/>
      <c r="D65" s="4"/>
      <c r="E65" s="4"/>
      <c r="F65" s="4"/>
      <c r="G65" s="19"/>
      <c r="H65" s="20"/>
      <c r="I65" s="60" t="s">
        <v>165</v>
      </c>
      <c r="J65" s="24"/>
      <c r="K65" s="24"/>
      <c r="L65" s="14">
        <f>C65*C63</f>
        <v>0</v>
      </c>
      <c r="M65" s="1">
        <f>E65*C63</f>
        <v>0</v>
      </c>
      <c r="N65" s="1">
        <f>IF(D65,L65/D65,0)</f>
        <v>0</v>
      </c>
      <c r="O65" s="15">
        <f>L65-N65</f>
        <v>0</v>
      </c>
      <c r="P65" s="14">
        <f>IF(AND(F65&lt;&gt;0,C63&lt;&gt;0),O65/M65*F65/IF(G65,G65,1),0)</f>
        <v>0</v>
      </c>
      <c r="Q65" s="1">
        <f>SUM(L65:L69)</f>
        <v>2691.2</v>
      </c>
      <c r="R65" s="15">
        <f>N65+Q66</f>
        <v>2691.2</v>
      </c>
      <c r="S65" s="14">
        <f>N65+H65*O65</f>
        <v>0</v>
      </c>
      <c r="T65" s="1">
        <f>IF(AND(F65&lt;&gt;0,C63&lt;&gt;0),(1-H65)*O65/M65*F65/IF(G65,G65,1),0)</f>
        <v>0</v>
      </c>
      <c r="U65" s="1">
        <f>SUM(L65:L69)</f>
        <v>2691.2</v>
      </c>
      <c r="V65" s="1">
        <f>S65+U66</f>
        <v>2691.2</v>
      </c>
    </row>
    <row r="66" spans="1:22">
      <c r="A66" s="47"/>
      <c r="B66" s="27">
        <v>1</v>
      </c>
      <c r="C66" s="5">
        <v>1880</v>
      </c>
      <c r="D66" s="1">
        <v>14.46</v>
      </c>
      <c r="E66" s="1">
        <v>5229.8</v>
      </c>
      <c r="F66" s="1">
        <v>318.2</v>
      </c>
      <c r="G66" s="5"/>
      <c r="H66" s="21"/>
      <c r="I66" s="30" t="s">
        <v>151</v>
      </c>
      <c r="J66" s="30"/>
      <c r="K66" s="30"/>
      <c r="L66" s="14">
        <f>C66</f>
        <v>1880</v>
      </c>
      <c r="M66" s="1">
        <f>E66</f>
        <v>5229.8</v>
      </c>
      <c r="N66" s="1">
        <f>IF(D66,L66/D66,0)</f>
        <v>130.01383125864453</v>
      </c>
      <c r="O66" s="15">
        <f>L66-N66</f>
        <v>1749.9861687413554</v>
      </c>
      <c r="P66" s="14">
        <f t="shared" ref="P66:P69" si="18">IF(F66,O66/M66*F66/IF(G66,G66,1),0)</f>
        <v>106.4755055439021</v>
      </c>
      <c r="Q66" s="1">
        <f>IF(F66,SUM(L66:L69)-P65*M66/F66*IF(G66,G66,1),0)</f>
        <v>2691.2</v>
      </c>
      <c r="R66" s="15">
        <f>N66+Q67</f>
        <v>941.21383125864463</v>
      </c>
      <c r="S66" s="14">
        <f>N66+H66*O66</f>
        <v>130.01383125864453</v>
      </c>
      <c r="T66" s="1">
        <f>IF(F66,(1-H66)*O66/M66*F66/IF(G66,G66,1),0)</f>
        <v>106.4755055439021</v>
      </c>
      <c r="U66" s="1">
        <f>IF(F66,SUM(L66:L69)-T65*M66/F66*IF(G66,G66,1),0)</f>
        <v>2691.2</v>
      </c>
      <c r="V66" s="1">
        <f>S66+U67</f>
        <v>941.21383125864463</v>
      </c>
    </row>
    <row r="67" spans="1:22">
      <c r="A67" s="47"/>
      <c r="B67" s="27">
        <v>2</v>
      </c>
      <c r="C67" s="5">
        <v>560.70000000000005</v>
      </c>
      <c r="D67" s="1">
        <v>10.07</v>
      </c>
      <c r="E67" s="1">
        <v>1435.1</v>
      </c>
      <c r="F67" s="1">
        <v>325.2</v>
      </c>
      <c r="G67" s="5"/>
      <c r="H67" s="21"/>
      <c r="I67" s="30" t="s">
        <v>153</v>
      </c>
      <c r="J67" s="30"/>
      <c r="K67" s="30"/>
      <c r="L67" s="14">
        <f>C67</f>
        <v>560.70000000000005</v>
      </c>
      <c r="M67" s="1">
        <f>E67</f>
        <v>1435.1</v>
      </c>
      <c r="N67" s="1">
        <f>IF(D67,L67/D67,0)</f>
        <v>55.680238331678254</v>
      </c>
      <c r="O67" s="15">
        <f>L67-N67</f>
        <v>505.01976166832179</v>
      </c>
      <c r="P67" s="14">
        <f t="shared" si="18"/>
        <v>114.43970907570082</v>
      </c>
      <c r="Q67" s="1">
        <f>SUM(L67:L69)</f>
        <v>811.2</v>
      </c>
      <c r="R67" s="15">
        <f>N67+Q68</f>
        <v>306.18023833167825</v>
      </c>
      <c r="S67" s="14">
        <f>N67+H67*O67</f>
        <v>55.680238331678254</v>
      </c>
      <c r="T67" s="1">
        <f t="shared" ref="T67:T69" si="19">IF(F67,(1-H67)*O67/M67*F67/IF(G67,G67,1),0)</f>
        <v>114.43970907570082</v>
      </c>
      <c r="U67" s="1">
        <f>SUM(L67:L69)</f>
        <v>811.2</v>
      </c>
      <c r="V67" s="1">
        <f>S67+U68</f>
        <v>306.18023833167825</v>
      </c>
    </row>
    <row r="68" spans="1:22">
      <c r="A68" s="33" t="s">
        <v>45</v>
      </c>
      <c r="B68" s="27">
        <v>3</v>
      </c>
      <c r="C68" s="5">
        <v>188.7</v>
      </c>
      <c r="D68" s="1">
        <v>13.7</v>
      </c>
      <c r="E68" s="1">
        <v>184.1</v>
      </c>
      <c r="F68" s="1">
        <v>348</v>
      </c>
      <c r="G68" s="5"/>
      <c r="H68" s="21"/>
      <c r="I68" s="30" t="s">
        <v>168</v>
      </c>
      <c r="J68" s="30"/>
      <c r="K68" s="30"/>
      <c r="L68" s="14">
        <f>C68</f>
        <v>188.7</v>
      </c>
      <c r="M68" s="1">
        <f>E68</f>
        <v>184.1</v>
      </c>
      <c r="N68" s="1">
        <f>IF(D68,L68/D68,0)</f>
        <v>13.773722627737227</v>
      </c>
      <c r="O68" s="15">
        <f>L68-N68</f>
        <v>174.92627737226277</v>
      </c>
      <c r="P68" s="14">
        <f t="shared" si="18"/>
        <v>330.65912289813929</v>
      </c>
      <c r="Q68" s="1">
        <f>SUM(L68:L69)</f>
        <v>250.5</v>
      </c>
      <c r="R68" s="15">
        <f>N68+Q69</f>
        <v>75.573722627737226</v>
      </c>
      <c r="S68" s="14">
        <f>N68+H68*O68</f>
        <v>13.773722627737227</v>
      </c>
      <c r="T68" s="1">
        <f t="shared" si="19"/>
        <v>330.65912289813929</v>
      </c>
      <c r="U68" s="1">
        <f>SUM(L68:L69)</f>
        <v>250.5</v>
      </c>
      <c r="V68" s="1">
        <f>S68+U69</f>
        <v>75.573722627737226</v>
      </c>
    </row>
    <row r="69" spans="1:22" ht="15" thickBot="1">
      <c r="A69" s="40"/>
      <c r="B69" s="28">
        <v>4</v>
      </c>
      <c r="C69" s="6">
        <v>61.8</v>
      </c>
      <c r="D69" s="7">
        <v>10.3</v>
      </c>
      <c r="E69" s="7">
        <v>40</v>
      </c>
      <c r="F69" s="7">
        <v>348</v>
      </c>
      <c r="G69" s="22"/>
      <c r="H69" s="23"/>
      <c r="I69" s="24" t="s">
        <v>169</v>
      </c>
      <c r="J69" s="24"/>
      <c r="K69" s="24"/>
      <c r="L69" s="16">
        <f>C69</f>
        <v>61.8</v>
      </c>
      <c r="M69" s="17">
        <f>E69</f>
        <v>40</v>
      </c>
      <c r="N69" s="17">
        <f>IF(D69,L69/D69,0)</f>
        <v>5.9999999999999991</v>
      </c>
      <c r="O69" s="18">
        <f>L69-N69</f>
        <v>55.8</v>
      </c>
      <c r="P69" s="14">
        <f t="shared" si="18"/>
        <v>485.46</v>
      </c>
      <c r="Q69" s="17">
        <f>SUM(L69:L69)</f>
        <v>61.8</v>
      </c>
      <c r="R69" s="18">
        <f>N69</f>
        <v>5.9999999999999991</v>
      </c>
      <c r="S69" s="16">
        <f>N69+H69*O69</f>
        <v>5.9999999999999991</v>
      </c>
      <c r="T69" s="17">
        <f t="shared" si="19"/>
        <v>485.46</v>
      </c>
      <c r="U69" s="17">
        <f>SUM(L69:L69)</f>
        <v>61.8</v>
      </c>
      <c r="V69" s="17">
        <f>S69</f>
        <v>5.9999999999999991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265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264</v>
      </c>
    </row>
    <row r="71" spans="1:22">
      <c r="A71" s="47"/>
      <c r="B71" s="27" t="s">
        <v>30</v>
      </c>
      <c r="C71" s="8">
        <v>102</v>
      </c>
      <c r="D71" s="1">
        <f>IF(C71,C71+Q65,"")</f>
        <v>2793.2</v>
      </c>
      <c r="E71" s="72">
        <f>IF(C71,C71/D71,"")</f>
        <v>3.6517256193613061E-2</v>
      </c>
      <c r="F71" s="14" t="str">
        <f>IF(AND(C71&lt;&gt;"",N63&lt;&gt;""),(M65/F65*E63+M66/F66*D63)/(C71+Q65),"")</f>
        <v/>
      </c>
      <c r="G71" s="1">
        <f>IF(C71,IF(AND(F65&lt;&gt;0,C63&lt;&gt;0),M66,M66/F66*D63)/(C71+Q66),"")</f>
        <v>1.6722721059216006</v>
      </c>
      <c r="H71" s="1">
        <f>IF(C71,(M67)/(C71+Q67),"")</f>
        <v>1.5715067893123082</v>
      </c>
      <c r="I71" s="1">
        <f>IF(C71,(M68)/(C71+Q68),"")</f>
        <v>0.52226950354609925</v>
      </c>
      <c r="J71" s="1">
        <f>IF(C71,(M69)/(C71+Q69),"")</f>
        <v>0.24420024420024419</v>
      </c>
      <c r="K71" s="14" t="str">
        <f>IF(AND(C71&lt;&gt;"",N63&lt;&gt;""),9.8*N63*LN((C71+Q65)/(C71+R65)),"")</f>
        <v/>
      </c>
      <c r="L71" s="1">
        <f>IF(C71,9.8*F66*LN((C71+Q66)/(C71+R66)),"")</f>
        <v>3071.2157647311387</v>
      </c>
      <c r="M71" s="1">
        <f>IF(C71,9.8*F67*LN((C71+Q67)/(C71+R67)),"")</f>
        <v>2566.2870381363114</v>
      </c>
      <c r="N71" s="1">
        <f>IF(C71,9.8*F68*LN((C71+Q68)/(C71+R68)),"")</f>
        <v>2338.3911002947298</v>
      </c>
      <c r="O71" s="1">
        <f>IF(C71,9.8*F69*LN((C71+Q69)/(C71+R69)),"")</f>
        <v>1420.4825660228134</v>
      </c>
      <c r="P71" s="15">
        <f>IF(C71,SUM(K71:O71),"")</f>
        <v>9396.3764691849938</v>
      </c>
      <c r="Q71" s="1" t="s">
        <v>269</v>
      </c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45</v>
      </c>
      <c r="B72" s="27" t="s">
        <v>31</v>
      </c>
      <c r="C72" s="9"/>
      <c r="D72" s="1" t="str">
        <f>IF(C72,C72+Q65,"")</f>
        <v/>
      </c>
      <c r="E72" s="72" t="str">
        <f t="shared" ref="E72:E74" si="20">IF(C72,C72/D72,"")</f>
        <v/>
      </c>
      <c r="F72" s="14" t="str">
        <f>IF(AND(C72&lt;&gt;"",N63&lt;&gt;""),(M65/F65*E63+M66/F66*D63)/(C72+Q65),"")</f>
        <v/>
      </c>
      <c r="G72" s="1" t="str">
        <f>IF(C72,IF(AND(F65&lt;&gt;0,C63&lt;&gt;0),M66,M66/F66*D63)/(C72+Q66),"")</f>
        <v/>
      </c>
      <c r="H72" s="1" t="str">
        <f>IF(C72,(M67)/(C72+Q67),"")</f>
        <v/>
      </c>
      <c r="I72" s="1" t="str">
        <f>IF(C72,(M68)/(C72+Q68),"")</f>
        <v/>
      </c>
      <c r="J72" s="1" t="str">
        <f>IF(C72,(M69)/(C72+Q69),"")</f>
        <v/>
      </c>
      <c r="K72" s="14" t="str">
        <f>IF(AND(C72&lt;&gt;"",N63&lt;&gt;""),9.8*N63*LN((C72+Q65)/(C72+R65)),"")</f>
        <v/>
      </c>
      <c r="L72" s="1" t="str">
        <f>IF(C72,9.8*F66*LN((C72+Q66)/(C72+R66)),"")</f>
        <v/>
      </c>
      <c r="M72" s="1" t="str">
        <f>IF(C72,9.8*F67*LN((C72+Q67)/(C72+R67)),"")</f>
        <v/>
      </c>
      <c r="N72" s="1" t="str">
        <f>IF(C72,9.8*F68*LN((C72+Q68)/(C72+R68)),"")</f>
        <v/>
      </c>
      <c r="O72" s="1" t="str">
        <f>IF(C72,9.8*F69*LN((C72+Q69)/(C72+R69)),"")</f>
        <v/>
      </c>
      <c r="P72" s="15" t="str">
        <f>IF(C72,SUM(K72:O72),"")</f>
        <v/>
      </c>
      <c r="Q72" s="1"/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32</v>
      </c>
      <c r="C73" s="9">
        <v>30</v>
      </c>
      <c r="D73" s="1">
        <f>IF(C73,C73+Q65,"")</f>
        <v>2721.2</v>
      </c>
      <c r="E73" s="72">
        <f t="shared" si="20"/>
        <v>1.1024547993532266E-2</v>
      </c>
      <c r="F73" s="14" t="str">
        <f>IF(AND(C73&lt;&gt;"",N63&lt;&gt;""),(M65/F65*E63+M66/F66*D63)/(C73+Q65),"")</f>
        <v/>
      </c>
      <c r="G73" s="1">
        <f>IF(C73,IF(AND(F65&lt;&gt;0,C63&lt;&gt;0),M66,M66/F66*D63)/(C73+Q66),"")</f>
        <v>1.7165186117375477</v>
      </c>
      <c r="H73" s="1">
        <f>IF(C73,(M67)/(C73+Q67),"")</f>
        <v>1.7060152163575841</v>
      </c>
      <c r="I73" s="1">
        <f>IF(C73,(M68)/(C73+Q68),"")</f>
        <v>0.65632798573975037</v>
      </c>
      <c r="J73" s="1">
        <f>IF(C73,(M69)/(C73+Q69),"")</f>
        <v>0.4357298474945534</v>
      </c>
      <c r="K73" s="14" t="str">
        <f>IF(AND(C73&lt;&gt;"",N63&lt;&gt;""),9.8*N63*LN((C73+Q65)/(C73+R65)),"")</f>
        <v/>
      </c>
      <c r="L73" s="1">
        <f>IF(C73,9.8*F66*LN((C73+Q66)/(C73+R66)),"")</f>
        <v>3212.7888580040217</v>
      </c>
      <c r="M73" s="1">
        <f>IF(C73,9.8*F67*LN((C73+Q67)/(C73+R67)),"")</f>
        <v>2923.0223597319323</v>
      </c>
      <c r="N73" s="1">
        <f>IF(C73,9.8*F68*LN((C73+Q68)/(C73+R68)),"")</f>
        <v>3332.5208675126137</v>
      </c>
      <c r="O73" s="1">
        <f>IF(C73,9.8*F69*LN((C73+Q69)/(C73+R69)),"")</f>
        <v>3192.45279211451</v>
      </c>
      <c r="P73" s="15">
        <f>IF(C73,SUM(K73:O73),"")</f>
        <v>12660.784877363079</v>
      </c>
      <c r="Q73" s="1" t="s">
        <v>270</v>
      </c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 t="s">
        <v>271</v>
      </c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9</v>
      </c>
      <c r="D75" s="12" t="s">
        <v>28</v>
      </c>
      <c r="E75" s="12" t="s">
        <v>266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/>
      <c r="D76" s="1" t="str">
        <f>IF(C76,C76+Q65,"")</f>
        <v/>
      </c>
      <c r="E76" s="72" t="str">
        <f>IF(C76,C76/D76,"")</f>
        <v/>
      </c>
      <c r="F76" s="14" t="str">
        <f>IF(AND(C76&lt;&gt;"",N63&lt;&gt;""),(M65/F65*E63+M66/F66*D63)/(C76+U65),"")</f>
        <v/>
      </c>
      <c r="G76" s="1" t="str">
        <f>IF(C76,IF(AND(F65&lt;&gt;0,C63&lt;&gt;0),M66,M66/F66*D63)/(C76+U66),"")</f>
        <v/>
      </c>
      <c r="H76" s="1" t="str">
        <f>IF(C76,(M67)/(C76+U67),"")</f>
        <v/>
      </c>
      <c r="I76" s="1" t="str">
        <f>IF(C76,(M68)/(C76+U68),"")</f>
        <v/>
      </c>
      <c r="J76" s="1" t="str">
        <f>IF(C76,(M69)/(C76+U69),"")</f>
        <v/>
      </c>
      <c r="K76" s="14" t="str">
        <f>IF(AND(C76&lt;&gt;"",N63&lt;&gt;""),9.8*N63*LN((C76+U65)/(C76+V65)),"")</f>
        <v/>
      </c>
      <c r="L76" s="1" t="str">
        <f>IF(C76,9.8*F66*LN((C76+U66)/(C76+V66)),"")</f>
        <v/>
      </c>
      <c r="M76" s="1" t="str">
        <f>IF(C76,9.8*F67*LN((C76+U67)/(C76+V67)),"")</f>
        <v/>
      </c>
      <c r="N76" s="1" t="str">
        <f>IF(C76,9.8*F68*LN((C76+U68)/(C76+V68)),"")</f>
        <v/>
      </c>
      <c r="O76" s="1" t="str">
        <f>IF(C76,9.8*F69*LN((C76+U69)/(C76+V69)),"")</f>
        <v/>
      </c>
      <c r="P76" s="15" t="str">
        <f>IF(C76,SUM(K76:O76),"")</f>
        <v/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/>
      <c r="D77" s="1" t="str">
        <f>IF(C77,C77+Q65,"")</f>
        <v/>
      </c>
      <c r="E77" s="72" t="str">
        <f t="shared" ref="E77:E79" si="22">IF(C77,C77/D77,"")</f>
        <v/>
      </c>
      <c r="F77" s="14" t="str">
        <f>IF(AND(C77&lt;&gt;"",N63&lt;&gt;""),(M65/F65*E63+M66/F66*D63)/(C77+U65),"")</f>
        <v/>
      </c>
      <c r="G77" s="1" t="str">
        <f>IF(C77,IF(AND(F65&lt;&gt;0,C63&lt;&gt;0),M66,M66/F66*D63)/(C77+U66),"")</f>
        <v/>
      </c>
      <c r="H77" s="1" t="str">
        <f>IF(C77,(M67)/(C77+U67),"")</f>
        <v/>
      </c>
      <c r="I77" s="1" t="str">
        <f>IF(C77,(M68)/(C77+U68),"")</f>
        <v/>
      </c>
      <c r="J77" s="1" t="str">
        <f>IF(C77,(M69)/(C77+U69),"")</f>
        <v/>
      </c>
      <c r="K77" s="14" t="str">
        <f>IF(AND(C77&lt;&gt;"",N63&lt;&gt;""),9.8*N63*LN((C77+U65)/(C77+V65)),"")</f>
        <v/>
      </c>
      <c r="L77" s="1" t="str">
        <f>IF(C77,9.8*F66*LN((C77+U66)/(C77+V66)),"")</f>
        <v/>
      </c>
      <c r="M77" s="1" t="str">
        <f>IF(C77,9.8*F67*LN((C77+U67)/(C77+V67)),"")</f>
        <v/>
      </c>
      <c r="N77" s="1" t="str">
        <f>IF(C77,9.8*F68*LN((C77+U68)/(C77+V68)),"")</f>
        <v/>
      </c>
      <c r="O77" s="1" t="str">
        <f>IF(C77,9.8*F69*LN((C77+U69)/(C77+V69)),"")</f>
        <v/>
      </c>
      <c r="P77" s="15" t="str">
        <f>IF(C77,SUM(K77:O77),"")</f>
        <v/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/>
      <c r="D78" s="1" t="str">
        <f>IF(C78,C78+Q65,"")</f>
        <v/>
      </c>
      <c r="E78" s="72" t="str">
        <f t="shared" si="22"/>
        <v/>
      </c>
      <c r="F78" s="14" t="str">
        <f>IF(AND(C78&lt;&gt;"",N63&lt;&gt;""),(M65/F65*E63+M66/F66*D63)/(C78+U65),"")</f>
        <v/>
      </c>
      <c r="G78" s="1" t="str">
        <f>IF(C78,IF(AND(F65&lt;&gt;0,C63&lt;&gt;0),M66,M66/F66*D63)/(C78+U66),"")</f>
        <v/>
      </c>
      <c r="H78" s="1" t="str">
        <f>IF(C78,(M67)/(C78+U67),"")</f>
        <v/>
      </c>
      <c r="I78" s="1" t="str">
        <f>IF(C78,(M68)/(C78+U68),"")</f>
        <v/>
      </c>
      <c r="J78" s="1" t="str">
        <f>IF(C78,(M69)/(C78+U69),"")</f>
        <v/>
      </c>
      <c r="K78" s="14" t="str">
        <f>IF(AND(C78&lt;&gt;"",N63&lt;&gt;""),9.8*N63*LN((C78+U65)/(C78+V65)),"")</f>
        <v/>
      </c>
      <c r="L78" s="1" t="str">
        <f>IF(C78,9.8*F66*LN((C78+U66)/(C78+V66)),"")</f>
        <v/>
      </c>
      <c r="M78" s="1" t="str">
        <f>IF(C78,9.8*F67*LN((C78+U67)/(C78+V67)),"")</f>
        <v/>
      </c>
      <c r="N78" s="1" t="str">
        <f>IF(C78,9.8*F68*LN((C78+U68)/(C78+V68)),"")</f>
        <v/>
      </c>
      <c r="O78" s="1" t="str">
        <f>IF(C78,9.8*F69*LN((C78+U69)/(C78+V69)),"")</f>
        <v/>
      </c>
      <c r="P78" s="15" t="str">
        <f>IF(C78,SUM(K78:O78),"")</f>
        <v/>
      </c>
      <c r="Q78" s="1"/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45</v>
      </c>
      <c r="B79" s="49" t="s">
        <v>5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147</v>
      </c>
      <c r="B81" s="52"/>
      <c r="C81" s="29" t="s">
        <v>0</v>
      </c>
      <c r="D81" s="90" t="s">
        <v>41</v>
      </c>
      <c r="E81" s="90"/>
      <c r="F81" s="43"/>
      <c r="G81" s="43" t="s">
        <v>157</v>
      </c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148</v>
      </c>
      <c r="B82" s="39"/>
      <c r="C82" s="2">
        <v>4</v>
      </c>
      <c r="D82" s="2">
        <v>336.5</v>
      </c>
      <c r="E82" s="2">
        <v>309.5</v>
      </c>
      <c r="F82" s="41"/>
      <c r="G82" s="42"/>
      <c r="H82" s="42"/>
      <c r="I82" s="24" t="s">
        <v>310</v>
      </c>
      <c r="J82" s="24"/>
      <c r="K82" s="24"/>
      <c r="L82" s="55">
        <f>IFERROR(IF(AND(F84&lt;&gt;0,C82&lt;&gt;0),M84/F84*E82+M85/F85*D82,M85/F85*D82),0)</f>
        <v>3553.9322434952446</v>
      </c>
      <c r="M82" s="53" t="s">
        <v>45</v>
      </c>
      <c r="N82" s="17">
        <f>IF(AND(F84&lt;&gt;0,C82&lt;&gt;0),(M84+M85)/(M84/F84+M85/F85),"")</f>
        <v>355.4680113181463</v>
      </c>
      <c r="O82" s="56" t="s">
        <v>45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1</v>
      </c>
      <c r="D83" s="1" t="s">
        <v>2</v>
      </c>
      <c r="E83" s="1" t="s">
        <v>7</v>
      </c>
      <c r="F83" s="1" t="s">
        <v>8</v>
      </c>
      <c r="G83" s="1" t="s">
        <v>43</v>
      </c>
      <c r="H83" s="1" t="s">
        <v>44</v>
      </c>
      <c r="I83" s="60" t="s">
        <v>156</v>
      </c>
      <c r="J83" s="24"/>
      <c r="K83" s="24"/>
      <c r="L83" s="11" t="s">
        <v>6</v>
      </c>
      <c r="M83" s="12" t="s">
        <v>69</v>
      </c>
      <c r="N83" s="12" t="s">
        <v>13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12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>
        <v>372.6</v>
      </c>
      <c r="D84" s="4">
        <v>5.68</v>
      </c>
      <c r="E84" s="4">
        <v>806.7</v>
      </c>
      <c r="F84" s="4">
        <v>337.2</v>
      </c>
      <c r="G84" s="19"/>
      <c r="H84" s="20">
        <v>0</v>
      </c>
      <c r="I84" s="24" t="s">
        <v>159</v>
      </c>
      <c r="J84" s="24"/>
      <c r="K84" s="24"/>
      <c r="L84" s="14">
        <f>C84*C82</f>
        <v>1490.4</v>
      </c>
      <c r="M84" s="1">
        <f>E84*C82</f>
        <v>3226.8</v>
      </c>
      <c r="N84" s="1">
        <f>IF(D84,L84/D84,0)</f>
        <v>262.3943661971831</v>
      </c>
      <c r="O84" s="15">
        <f>L84-N84</f>
        <v>1228.0056338028171</v>
      </c>
      <c r="P84" s="14">
        <f>IF(AND(F84&lt;&gt;0,C82&lt;&gt;0),O84/M84*F84/IF(G84,G84,1),0)</f>
        <v>128.32636039367483</v>
      </c>
      <c r="Q84" s="1">
        <f>SUM(L84:L88)</f>
        <v>2266.6000000000004</v>
      </c>
      <c r="R84" s="15">
        <f>N84+Q85</f>
        <v>812.75351558351269</v>
      </c>
      <c r="S84" s="14">
        <f>N84+H84*O84</f>
        <v>262.3943661971831</v>
      </c>
      <c r="T84" s="1">
        <f>IF(AND(F84&lt;&gt;0,C82&lt;&gt;0),(1-H84)*O84/M84*F84/IF(G84,G84,1),0)</f>
        <v>128.32636039367483</v>
      </c>
      <c r="U84" s="1">
        <f>SUM(L84:L88)</f>
        <v>2266.6000000000004</v>
      </c>
      <c r="V84" s="1">
        <f>S84+U85</f>
        <v>812.75351558351269</v>
      </c>
    </row>
    <row r="85" spans="1:22">
      <c r="A85" s="47"/>
      <c r="B85" s="27">
        <v>1</v>
      </c>
      <c r="C85" s="5">
        <v>776.2</v>
      </c>
      <c r="D85" s="1">
        <v>10.7</v>
      </c>
      <c r="E85" s="1">
        <v>800.4</v>
      </c>
      <c r="F85" s="1">
        <v>454.8</v>
      </c>
      <c r="G85" s="5"/>
      <c r="H85" s="21"/>
      <c r="I85" s="30" t="s">
        <v>158</v>
      </c>
      <c r="J85" s="30"/>
      <c r="K85" s="30"/>
      <c r="L85" s="14">
        <f>C85</f>
        <v>776.2</v>
      </c>
      <c r="M85" s="1">
        <f>E85</f>
        <v>800.4</v>
      </c>
      <c r="N85" s="1">
        <f>IF(D85,L85/D85,0)</f>
        <v>72.542056074766364</v>
      </c>
      <c r="O85" s="15">
        <f>L85-N85</f>
        <v>703.65794392523367</v>
      </c>
      <c r="P85" s="14">
        <f t="shared" ref="P85:P88" si="24">IF(F85,O85/M85*F85/IF(G85,G85,1),0)</f>
        <v>399.82962630834118</v>
      </c>
      <c r="Q85" s="1">
        <f>IF(F85,SUM(L85:L88)-P84*M85/F85*IF(G85,G85,1),0)</f>
        <v>550.35914938632959</v>
      </c>
      <c r="R85" s="15">
        <f>N85+Q86</f>
        <v>72.542056074766364</v>
      </c>
      <c r="S85" s="14">
        <f>N85+H85*O85</f>
        <v>72.542056074766364</v>
      </c>
      <c r="T85" s="1">
        <f>IF(F85,(1-H85)*O85/M85*F85/IF(G85,G85,1),0)</f>
        <v>399.82962630834118</v>
      </c>
      <c r="U85" s="1">
        <f>IF(F85,SUM(L85:L88)-T84*M85/F85*IF(G85,G85,1),0)</f>
        <v>550.35914938632959</v>
      </c>
      <c r="V85" s="1">
        <f>S85+U86</f>
        <v>72.542056074766364</v>
      </c>
    </row>
    <row r="86" spans="1:22">
      <c r="A86" s="47"/>
      <c r="B86" s="27">
        <v>2</v>
      </c>
      <c r="C86" s="5"/>
      <c r="D86" s="1"/>
      <c r="E86" s="1"/>
      <c r="F86" s="1"/>
      <c r="G86" s="5"/>
      <c r="H86" s="21"/>
      <c r="I86" s="30"/>
      <c r="J86" s="30"/>
      <c r="K86" s="30"/>
      <c r="L86" s="14">
        <f>C86</f>
        <v>0</v>
      </c>
      <c r="M86" s="1">
        <f>E86</f>
        <v>0</v>
      </c>
      <c r="N86" s="1">
        <f>IF(D86,L86/D86,0)</f>
        <v>0</v>
      </c>
      <c r="O86" s="15">
        <f>L86-N86</f>
        <v>0</v>
      </c>
      <c r="P86" s="14">
        <f t="shared" si="24"/>
        <v>0</v>
      </c>
      <c r="Q86" s="1">
        <f>SUM(L86:L88)</f>
        <v>0</v>
      </c>
      <c r="R86" s="15">
        <f>N86+Q87</f>
        <v>0</v>
      </c>
      <c r="S86" s="14">
        <f>N86+H86*O86</f>
        <v>0</v>
      </c>
      <c r="T86" s="1">
        <f t="shared" ref="T86:T88" si="25">IF(F86,(1-H86)*O86/M86*F86/IF(G86,G86,1),0)</f>
        <v>0</v>
      </c>
      <c r="U86" s="1">
        <f>SUM(L86:L88)</f>
        <v>0</v>
      </c>
      <c r="V86" s="1">
        <f>S86+U87</f>
        <v>0</v>
      </c>
    </row>
    <row r="87" spans="1:22">
      <c r="A87" s="33" t="s">
        <v>45</v>
      </c>
      <c r="B87" s="27">
        <v>3</v>
      </c>
      <c r="C87" s="5"/>
      <c r="D87" s="1"/>
      <c r="E87" s="1"/>
      <c r="F87" s="1"/>
      <c r="G87" s="5"/>
      <c r="H87" s="21"/>
      <c r="I87" s="30"/>
      <c r="J87" s="30"/>
      <c r="K87" s="30"/>
      <c r="L87" s="14">
        <f>C87</f>
        <v>0</v>
      </c>
      <c r="M87" s="1">
        <f>E87</f>
        <v>0</v>
      </c>
      <c r="N87" s="1">
        <f>IF(D87,L87/D87,0)</f>
        <v>0</v>
      </c>
      <c r="O87" s="15">
        <f>L87-N87</f>
        <v>0</v>
      </c>
      <c r="P87" s="14">
        <f t="shared" si="24"/>
        <v>0</v>
      </c>
      <c r="Q87" s="1">
        <f>SUM(L87:L88)</f>
        <v>0</v>
      </c>
      <c r="R87" s="15">
        <f>N87+Q88</f>
        <v>0</v>
      </c>
      <c r="S87" s="14">
        <f>N87+H87*O87</f>
        <v>0</v>
      </c>
      <c r="T87" s="1">
        <f t="shared" si="25"/>
        <v>0</v>
      </c>
      <c r="U87" s="1">
        <f>SUM(L87:L88)</f>
        <v>0</v>
      </c>
      <c r="V87" s="1">
        <f>S87+U88</f>
        <v>0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265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94" t="s">
        <v>42</v>
      </c>
      <c r="R89" s="85"/>
      <c r="S89" s="85"/>
      <c r="T89" s="31" t="s">
        <v>50</v>
      </c>
      <c r="U89" s="35" t="s">
        <v>47</v>
      </c>
      <c r="V89" s="36" t="s">
        <v>264</v>
      </c>
    </row>
    <row r="90" spans="1:22">
      <c r="A90" s="47"/>
      <c r="B90" s="27" t="s">
        <v>30</v>
      </c>
      <c r="C90" s="8">
        <v>105</v>
      </c>
      <c r="D90" s="1">
        <f>IF(C90,C90+Q84,"")</f>
        <v>2371.6000000000004</v>
      </c>
      <c r="E90" s="72">
        <f>IF(C90,C90/D90,"")</f>
        <v>4.427390791027154E-2</v>
      </c>
      <c r="F90" s="14">
        <f>IF(AND(C90&lt;&gt;"",N82&lt;&gt;""),(M84/F84*E82+M85/F85*D82)/(C90+Q84),"")</f>
        <v>1.498537798741459</v>
      </c>
      <c r="G90" s="1">
        <f>IF(C90,IF(AND(F84&lt;&gt;0,C82&lt;&gt;0),M85,M85/F85*D82)/(C90+Q85),"")</f>
        <v>1.2213150617481803</v>
      </c>
      <c r="H90" s="1">
        <f>IF(C90,(M86)/(C90+Q86),"")</f>
        <v>0</v>
      </c>
      <c r="I90" s="1">
        <f>IF(C90,(M87)/(C90+Q87),"")</f>
        <v>0</v>
      </c>
      <c r="J90" s="1">
        <f>IF(C90,(M88)/(C90+Q88),"")</f>
        <v>0</v>
      </c>
      <c r="K90" s="14">
        <f>IF(AND(C90&lt;&gt;"",N82&lt;&gt;""),9.8*N82*LN((C90+Q84)/(C90+R84)),"")</f>
        <v>3307.2865827693936</v>
      </c>
      <c r="L90" s="1">
        <f>IF(C90,9.8*F85*LN((C90+Q85)/(C90+R85)),"")</f>
        <v>5820.7867743188981</v>
      </c>
      <c r="M90" s="1">
        <f>IF(C90,9.8*F86*LN((C90+Q86)/(C90+R86)),"")</f>
        <v>0</v>
      </c>
      <c r="N90" s="1">
        <f>IF(C90,9.8*F87*LN((C90+Q87)/(C90+R87)),"")</f>
        <v>0</v>
      </c>
      <c r="O90" s="1">
        <f>IF(C90,9.8*F88*LN((C90+Q88)/(C90+R88)),"")</f>
        <v>0</v>
      </c>
      <c r="P90" s="15">
        <f>IF(C90,SUM(K90:O90),"")</f>
        <v>9128.0733570882912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45</v>
      </c>
      <c r="B91" s="27" t="s">
        <v>31</v>
      </c>
      <c r="C91" s="9"/>
      <c r="D91" s="1" t="str">
        <f>IF(C91,C91+Q84,"")</f>
        <v/>
      </c>
      <c r="E91" s="72" t="str">
        <f t="shared" ref="E91:E93" si="26">IF(C91,C91/D91,"")</f>
        <v/>
      </c>
      <c r="F91" s="14" t="str">
        <f>IF(AND(C91&lt;&gt;"",N82&lt;&gt;""),(M84/F84*E82+M85/F85*D82)/(C91+Q84),"")</f>
        <v/>
      </c>
      <c r="G91" s="1" t="str">
        <f>IF(C91,IF(AND(F84&lt;&gt;0,C82&lt;&gt;0),M85,M85/F85*D82)/(C91+Q85),"")</f>
        <v/>
      </c>
      <c r="H91" s="1" t="str">
        <f>IF(C91,(M86)/(C91+Q86),"")</f>
        <v/>
      </c>
      <c r="I91" s="1" t="str">
        <f>IF(C91,(M87)/(C91+Q87),"")</f>
        <v/>
      </c>
      <c r="J91" s="1" t="str">
        <f>IF(C91,(M88)/(C91+Q88),"")</f>
        <v/>
      </c>
      <c r="K91" s="14" t="str">
        <f>IF(AND(C91&lt;&gt;"",N82&lt;&gt;""),9.8*N82*LN((C91+Q84)/(C91+R84)),"")</f>
        <v/>
      </c>
      <c r="L91" s="1" t="str">
        <f>IF(C91,9.8*F85*LN((C91+Q85)/(C91+R85)),"")</f>
        <v/>
      </c>
      <c r="M91" s="1" t="str">
        <f>IF(C91,9.8*F86*LN((C91+Q86)/(C91+R86)),"")</f>
        <v/>
      </c>
      <c r="N91" s="1" t="str">
        <f>IF(C91,9.8*F87*LN((C91+Q87)/(C91+R87)),"")</f>
        <v/>
      </c>
      <c r="O91" s="1" t="str">
        <f>IF(C91,9.8*F88*LN((C91+Q88)/(C91+R88)),"")</f>
        <v/>
      </c>
      <c r="P91" s="15" t="str">
        <f>IF(C91,SUM(K91:O91),"")</f>
        <v/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32</v>
      </c>
      <c r="C92" s="9"/>
      <c r="D92" s="1" t="str">
        <f>IF(C92,C92+Q84,"")</f>
        <v/>
      </c>
      <c r="E92" s="72" t="str">
        <f t="shared" si="26"/>
        <v/>
      </c>
      <c r="F92" s="14" t="str">
        <f>IF(AND(C92&lt;&gt;"",N82&lt;&gt;""),(M84/F84*E82+M85/F85*D82)/(C92+Q84),"")</f>
        <v/>
      </c>
      <c r="G92" s="1" t="str">
        <f>IF(C92,IF(AND(F84&lt;&gt;0,C82&lt;&gt;0),M85,M85/F85*D82)/(C92+Q85),"")</f>
        <v/>
      </c>
      <c r="H92" s="1" t="str">
        <f>IF(C92,(M86)/(C92+Q86),"")</f>
        <v/>
      </c>
      <c r="I92" s="1" t="str">
        <f>IF(C92,(M87)/(C92+Q87),"")</f>
        <v/>
      </c>
      <c r="J92" s="1" t="str">
        <f>IF(C92,(M88)/(C92+Q88),"")</f>
        <v/>
      </c>
      <c r="K92" s="14" t="str">
        <f>IF(AND(C92&lt;&gt;"",N82&lt;&gt;""),9.8*N82*LN((C92+Q84)/(C92+R84)),"")</f>
        <v/>
      </c>
      <c r="L92" s="1" t="str">
        <f>IF(C92,9.8*F85*LN((C92+Q85)/(C92+R85)),"")</f>
        <v/>
      </c>
      <c r="M92" s="1" t="str">
        <f>IF(C92,9.8*F86*LN((C92+Q86)/(C92+R86)),"")</f>
        <v/>
      </c>
      <c r="N92" s="1" t="str">
        <f>IF(C92,9.8*F87*LN((C92+Q87)/(C92+R87)),"")</f>
        <v/>
      </c>
      <c r="O92" s="1" t="str">
        <f>IF(C92,9.8*F88*LN((C92+Q88)/(C92+R88)),"")</f>
        <v/>
      </c>
      <c r="P92" s="15" t="str">
        <f>IF(C92,SUM(K92:O92),"")</f>
        <v/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/>
      <c r="D93" s="1" t="str">
        <f>IF(C93,C93+Q84,"")</f>
        <v/>
      </c>
      <c r="E93" s="72" t="str">
        <f t="shared" si="26"/>
        <v/>
      </c>
      <c r="F93" s="14" t="str">
        <f>IF(AND(C93&lt;&gt;"",N82&lt;&gt;""),(M84/F84*E82+M85/F85*D82)/(C93+Q84),"")</f>
        <v/>
      </c>
      <c r="G93" s="1" t="str">
        <f>IF(C93,IF(AND(F84&lt;&gt;0,C82&lt;&gt;0),M85,M85/F85*D82)/(C93+Q85),"")</f>
        <v/>
      </c>
      <c r="H93" s="1" t="str">
        <f>IF(C93,(M86)/(C93+Q86),"")</f>
        <v/>
      </c>
      <c r="I93" s="1" t="str">
        <f>IF(C93,(M87)/(C93+Q87),"")</f>
        <v/>
      </c>
      <c r="J93" s="1" t="str">
        <f>IF(C93,(M88)/(C93+Q88),"")</f>
        <v/>
      </c>
      <c r="K93" s="14" t="str">
        <f>IF(AND(C93&lt;&gt;"",N82&lt;&gt;""),9.8*N82*LN((C93+Q84)/(C93+R84)),"")</f>
        <v/>
      </c>
      <c r="L93" s="1" t="str">
        <f>IF(C93,9.8*F85*LN((C93+Q85)/(C93+R85)),"")</f>
        <v/>
      </c>
      <c r="M93" s="1" t="str">
        <f>IF(C93,9.8*F86*LN((C93+Q86)/(C93+R86)),"")</f>
        <v/>
      </c>
      <c r="N93" s="1" t="str">
        <f>IF(C93,9.8*F87*LN((C93+Q87)/(C93+R87)),"")</f>
        <v/>
      </c>
      <c r="O93" s="1" t="str">
        <f>IF(C93,9.8*F88*LN((C93+Q88)/(C93+R88)),"")</f>
        <v/>
      </c>
      <c r="P93" s="15" t="str">
        <f>IF(C93,SUM(K93:O93),"")</f>
        <v/>
      </c>
      <c r="Q93" s="17"/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9</v>
      </c>
      <c r="D94" s="12" t="s">
        <v>28</v>
      </c>
      <c r="E94" s="12" t="s">
        <v>266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94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>
        <v>105</v>
      </c>
      <c r="D95" s="1">
        <f>IF(C95,C95+Q84,"")</f>
        <v>2371.6000000000004</v>
      </c>
      <c r="E95" s="72">
        <f>IF(C95,C95/D95,"")</f>
        <v>4.427390791027154E-2</v>
      </c>
      <c r="F95" s="14">
        <f>IF(AND(C95&lt;&gt;"",N82&lt;&gt;""),(M84/F84*E82+M85/F85*D82)/(C95+U84),"")</f>
        <v>1.498537798741459</v>
      </c>
      <c r="G95" s="1">
        <f>IF(C95,IF(AND(F84&lt;&gt;0,C82&lt;&gt;0),M85,M85/F85*D82)/(C95+U85),"")</f>
        <v>1.2213150617481803</v>
      </c>
      <c r="H95" s="1">
        <f>IF(C95,(M86)/(C95+U86),"")</f>
        <v>0</v>
      </c>
      <c r="I95" s="1">
        <f>IF(C95,(M87)/(C95+U87),"")</f>
        <v>0</v>
      </c>
      <c r="J95" s="1">
        <f>IF(C95,(M88)/(C95+U88),"")</f>
        <v>0</v>
      </c>
      <c r="K95" s="14">
        <f>IF(AND(C95&lt;&gt;"",N82&lt;&gt;""),9.8*N82*LN((C95+U84)/(C95+V84)),"")</f>
        <v>3307.2865827693936</v>
      </c>
      <c r="L95" s="1">
        <f>IF(C95,9.8*F85*LN((C95+U85)/(C95+V85)),"")</f>
        <v>5820.7867743188981</v>
      </c>
      <c r="M95" s="1">
        <f>IF(C95,9.8*F86*LN((C95+U86)/(C95+V86)),"")</f>
        <v>0</v>
      </c>
      <c r="N95" s="1">
        <f>IF(C95,9.8*F87*LN((C95+U87)/(C95+V87)),"")</f>
        <v>0</v>
      </c>
      <c r="O95" s="1">
        <f>IF(C95,9.8*F88*LN((C95+U88)/(C95+V88)),"")</f>
        <v>0</v>
      </c>
      <c r="P95" s="15">
        <f>IF(C95,SUM(K95:O95),"")</f>
        <v>9128.0733570882912</v>
      </c>
      <c r="Q95" s="1"/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/>
      <c r="D96" s="1" t="str">
        <f>IF(C96,C96+Q84,"")</f>
        <v/>
      </c>
      <c r="E96" s="72" t="str">
        <f t="shared" ref="E96:E98" si="28">IF(C96,C96/D96,"")</f>
        <v/>
      </c>
      <c r="F96" s="14" t="str">
        <f>IF(AND(C96&lt;&gt;"",N82&lt;&gt;""),(M84/F84*E82+M85/F85*D82)/(C96+U84),"")</f>
        <v/>
      </c>
      <c r="G96" s="1" t="str">
        <f>IF(C96,IF(AND(F84&lt;&gt;0,C82&lt;&gt;0),M85,M85/F85*D82)/(C96+U85),"")</f>
        <v/>
      </c>
      <c r="H96" s="1" t="str">
        <f>IF(C96,(M86)/(C96+U86),"")</f>
        <v/>
      </c>
      <c r="I96" s="1" t="str">
        <f>IF(C96,(M87)/(C96+U87),"")</f>
        <v/>
      </c>
      <c r="J96" s="1" t="str">
        <f>IF(C96,(M88)/(C96+U88),"")</f>
        <v/>
      </c>
      <c r="K96" s="14" t="str">
        <f>IF(AND(C96&lt;&gt;"",N82&lt;&gt;""),9.8*N82*LN((C96+U84)/(C96+V84)),"")</f>
        <v/>
      </c>
      <c r="L96" s="1" t="str">
        <f>IF(C96,9.8*F85*LN((C96+U85)/(C96+V85)),"")</f>
        <v/>
      </c>
      <c r="M96" s="1" t="str">
        <f>IF(C96,9.8*F86*LN((C96+U86)/(C96+V86)),"")</f>
        <v/>
      </c>
      <c r="N96" s="1" t="str">
        <f>IF(C96,9.8*F87*LN((C96+U87)/(C96+V87)),"")</f>
        <v/>
      </c>
      <c r="O96" s="1" t="str">
        <f>IF(C96,9.8*F88*LN((C96+U88)/(C96+V88)),"")</f>
        <v/>
      </c>
      <c r="P96" s="15" t="str">
        <f>IF(C96,SUM(K96:O96),"")</f>
        <v/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45</v>
      </c>
      <c r="B98" s="49" t="s">
        <v>5</v>
      </c>
      <c r="C98" s="50"/>
      <c r="D98" s="25" t="str">
        <f>IF(C98,C98+Q84,"")</f>
        <v/>
      </c>
      <c r="E98" s="73" t="str">
        <f t="shared" si="28"/>
        <v/>
      </c>
      <c r="F98" s="70" t="str">
        <f>IF(AND(C98&lt;&gt;"",N82&lt;&gt;""),(M84/F84*E82+M85/F85*D82)/(C98+U84),"")</f>
        <v/>
      </c>
      <c r="G98" s="25" t="str">
        <f>IF(C98,IF(AND(F84&lt;&gt;0,C82&lt;&gt;0),M85,M85/F85*D82)/(C98+U85),"")</f>
        <v/>
      </c>
      <c r="H98" s="25" t="str">
        <f>IF(C98,(M86)/(C98+U86),"")</f>
        <v/>
      </c>
      <c r="I98" s="25" t="str">
        <f>IF(C98,(M87)/(C98+U87),"")</f>
        <v/>
      </c>
      <c r="J98" s="25" t="str">
        <f>IF(C98,(M88)/(C98+U88),"")</f>
        <v/>
      </c>
      <c r="K98" s="70" t="str">
        <f>IF(AND(C98&lt;&gt;"",N82&lt;&gt;""),9.8*N82*LN((C98+U84)/(C98+V84)),"")</f>
        <v/>
      </c>
      <c r="L98" s="25" t="str">
        <f>IF(C98,9.8*F85*LN((C98+U85)/(C98+V85)),"")</f>
        <v/>
      </c>
      <c r="M98" s="25" t="str">
        <f>IF(C98,9.8*F86*LN((C98+U86)/(C98+V86)),"")</f>
        <v/>
      </c>
      <c r="N98" s="25" t="str">
        <f>IF(C98,9.8*F87*LN((C98+U87)/(C98+V87)),"")</f>
        <v/>
      </c>
      <c r="O98" s="25" t="str">
        <f>IF(C98,9.8*F88*LN((C98+U88)/(C98+V88)),"")</f>
        <v/>
      </c>
      <c r="P98" s="71" t="str">
        <f>IF(C98,SUM(K98:O98),"")</f>
        <v/>
      </c>
      <c r="Q98" s="25"/>
      <c r="R98" s="25"/>
      <c r="S98" s="25"/>
      <c r="T98" s="51" t="str">
        <f t="shared" si="29"/>
        <v/>
      </c>
      <c r="U98" s="25"/>
      <c r="V98" s="25"/>
    </row>
    <row r="99" spans="1:22" ht="15" thickBot="1"/>
    <row r="100" spans="1:22" ht="15" thickBot="1">
      <c r="A100" s="52" t="s">
        <v>123</v>
      </c>
      <c r="B100" s="52"/>
      <c r="C100" s="29" t="s">
        <v>0</v>
      </c>
      <c r="D100" s="90" t="s">
        <v>41</v>
      </c>
      <c r="E100" s="90"/>
      <c r="F100" s="43"/>
      <c r="G100" s="43"/>
      <c r="H100" s="43"/>
      <c r="I100" s="86" t="s">
        <v>42</v>
      </c>
      <c r="J100" s="86"/>
      <c r="K100" s="86"/>
      <c r="L100" s="54" t="s">
        <v>70</v>
      </c>
      <c r="M100" s="86" t="s">
        <v>71</v>
      </c>
      <c r="N100" s="86"/>
      <c r="O100" s="87"/>
      <c r="P100" s="29" t="s">
        <v>49</v>
      </c>
      <c r="Q100" s="34" t="str">
        <f>IF(OR(P104&lt;P103,T104&lt;T103),"芯级燃烧时间不得小于助推燃烧时间！","")</f>
        <v/>
      </c>
      <c r="R100" s="44"/>
      <c r="S100" s="45"/>
      <c r="T100" s="29"/>
      <c r="U100" s="46" t="s">
        <v>45</v>
      </c>
      <c r="V100" s="46" t="s">
        <v>48</v>
      </c>
    </row>
    <row r="101" spans="1:22" ht="15" thickBot="1">
      <c r="A101" s="40" t="s">
        <v>122</v>
      </c>
      <c r="B101" s="39"/>
      <c r="C101" s="2">
        <v>2</v>
      </c>
      <c r="D101" s="2">
        <v>366</v>
      </c>
      <c r="E101" s="2">
        <v>242</v>
      </c>
      <c r="F101" s="41"/>
      <c r="G101" s="42"/>
      <c r="H101" s="42"/>
      <c r="I101" s="24" t="s">
        <v>311</v>
      </c>
      <c r="J101" s="24"/>
      <c r="K101" s="24"/>
      <c r="L101" s="55">
        <f>IFERROR(IF(AND(F103&lt;&gt;0,C101&lt;&gt;0),M103/F103*E101+M104/F104*D101,M104/F104*D101),0)</f>
        <v>4023.3484546295072</v>
      </c>
      <c r="M101" s="53" t="s">
        <v>45</v>
      </c>
      <c r="N101" s="17">
        <f>IF(AND(F103&lt;&gt;0,C101&lt;&gt;0),(M103+M104)/(M103/F103+M104/F104),"")</f>
        <v>292.48912451964094</v>
      </c>
      <c r="O101" s="56" t="s">
        <v>45</v>
      </c>
      <c r="P101" s="89" t="s">
        <v>17</v>
      </c>
      <c r="Q101" s="89"/>
      <c r="R101" s="91"/>
      <c r="S101" s="88" t="s">
        <v>18</v>
      </c>
      <c r="T101" s="89"/>
      <c r="U101" s="89"/>
      <c r="V101" s="89"/>
    </row>
    <row r="102" spans="1:22" ht="15" thickBot="1">
      <c r="A102" s="33" t="s">
        <v>45</v>
      </c>
      <c r="B102" s="26" t="s">
        <v>39</v>
      </c>
      <c r="C102" s="1" t="s">
        <v>60</v>
      </c>
      <c r="D102" s="1" t="s">
        <v>61</v>
      </c>
      <c r="E102" s="1" t="s">
        <v>62</v>
      </c>
      <c r="F102" s="1" t="s">
        <v>63</v>
      </c>
      <c r="G102" s="1" t="s">
        <v>64</v>
      </c>
      <c r="H102" s="1" t="s">
        <v>65</v>
      </c>
      <c r="I102" s="59" t="s">
        <v>138</v>
      </c>
      <c r="J102" s="24"/>
      <c r="K102" s="24"/>
      <c r="L102" s="11" t="s">
        <v>6</v>
      </c>
      <c r="M102" s="12" t="s">
        <v>69</v>
      </c>
      <c r="N102" s="12" t="s">
        <v>13</v>
      </c>
      <c r="O102" s="13" t="s">
        <v>14</v>
      </c>
      <c r="P102" s="14" t="s">
        <v>12</v>
      </c>
      <c r="Q102" s="1" t="s">
        <v>10</v>
      </c>
      <c r="R102" s="15" t="s">
        <v>11</v>
      </c>
      <c r="S102" s="14" t="s">
        <v>13</v>
      </c>
      <c r="T102" s="1" t="s">
        <v>12</v>
      </c>
      <c r="U102" s="1" t="s">
        <v>10</v>
      </c>
      <c r="V102" s="1" t="s">
        <v>11</v>
      </c>
    </row>
    <row r="103" spans="1:22">
      <c r="A103" s="40"/>
      <c r="B103" s="27" t="s">
        <v>3</v>
      </c>
      <c r="C103" s="3">
        <v>732</v>
      </c>
      <c r="D103" s="4">
        <v>7.3</v>
      </c>
      <c r="E103" s="4">
        <v>1808</v>
      </c>
      <c r="F103" s="4">
        <v>268</v>
      </c>
      <c r="G103" s="19"/>
      <c r="H103" s="20"/>
      <c r="I103" s="24" t="s">
        <v>133</v>
      </c>
      <c r="J103" s="24"/>
      <c r="K103" s="24"/>
      <c r="L103" s="14">
        <f>C103*C101</f>
        <v>1464</v>
      </c>
      <c r="M103" s="1">
        <f>E103*C101</f>
        <v>3616</v>
      </c>
      <c r="N103" s="1">
        <f>IF(D103,L103/D103,0)</f>
        <v>200.54794520547946</v>
      </c>
      <c r="O103" s="15">
        <f>L103-N103</f>
        <v>1263.4520547945206</v>
      </c>
      <c r="P103" s="14">
        <f>IF(AND(F103&lt;&gt;0,C101&lt;&gt;0),O103/M103*F103/IF(G103,G103,1),0)</f>
        <v>93.640804946054075</v>
      </c>
      <c r="Q103" s="1">
        <f>SUM(L103:L107)</f>
        <v>2560.1999999999998</v>
      </c>
      <c r="R103" s="15">
        <f>N103+Q104</f>
        <v>1102.7747468183327</v>
      </c>
      <c r="S103" s="14">
        <f>N103+H103*O103</f>
        <v>200.54794520547946</v>
      </c>
      <c r="T103" s="1">
        <f>IF(AND(F103&lt;&gt;0,C101&lt;&gt;0),(1-H103)*O103/M103*F103/IF(G103,G103,1),0)</f>
        <v>93.640804946054075</v>
      </c>
      <c r="U103" s="1">
        <f>SUM(L103:L107)</f>
        <v>2560.1999999999998</v>
      </c>
      <c r="V103" s="1">
        <f>S103+U104</f>
        <v>1102.7747468183327</v>
      </c>
    </row>
    <row r="104" spans="1:22">
      <c r="A104" s="47"/>
      <c r="B104" s="27">
        <v>1</v>
      </c>
      <c r="C104" s="5">
        <v>1065</v>
      </c>
      <c r="D104" s="1">
        <v>12.49</v>
      </c>
      <c r="E104" s="1">
        <v>936.3</v>
      </c>
      <c r="F104" s="1">
        <v>452</v>
      </c>
      <c r="G104" s="5">
        <v>1</v>
      </c>
      <c r="H104" s="21"/>
      <c r="I104" s="30" t="s">
        <v>134</v>
      </c>
      <c r="J104" s="30"/>
      <c r="K104" s="30"/>
      <c r="L104" s="14">
        <f>C104</f>
        <v>1065</v>
      </c>
      <c r="M104" s="1">
        <f>E104</f>
        <v>936.3</v>
      </c>
      <c r="N104" s="1">
        <f>IF(D104,L104/D104,0)</f>
        <v>85.268214571657325</v>
      </c>
      <c r="O104" s="15">
        <f>L104-N104</f>
        <v>979.73178542834262</v>
      </c>
      <c r="P104" s="14">
        <f t="shared" ref="P104:P107" si="30">IF(F104,O104/M104*F104/IF(G104,G104,1),0)</f>
        <v>472.96674891980228</v>
      </c>
      <c r="Q104" s="1">
        <f>IF(F104,SUM(L104:L107)-P103*M104/F104*IF(G104,G104,1),0)</f>
        <v>902.22680161285314</v>
      </c>
      <c r="R104" s="15">
        <f>N104+Q105</f>
        <v>116.46821457165733</v>
      </c>
      <c r="S104" s="14">
        <f>N104+H104*O104</f>
        <v>85.268214571657325</v>
      </c>
      <c r="T104" s="1">
        <f>IF(F104,(1-H104)*O104/M104*F104/IF(G104,G104,1),0)</f>
        <v>472.96674891980228</v>
      </c>
      <c r="U104" s="1">
        <f>IF(F104,SUM(L104:L107)-T103*M104/F104*IF(G104,G104,1),0)</f>
        <v>902.22680161285314</v>
      </c>
      <c r="V104" s="1">
        <f>S104+U105</f>
        <v>116.46821457165733</v>
      </c>
    </row>
    <row r="105" spans="1:22">
      <c r="A105" s="47"/>
      <c r="B105" s="27">
        <v>2</v>
      </c>
      <c r="C105" s="5">
        <v>31.2</v>
      </c>
      <c r="D105" s="1">
        <v>7.17</v>
      </c>
      <c r="E105" s="1">
        <v>11.2</v>
      </c>
      <c r="F105" s="1">
        <v>462</v>
      </c>
      <c r="G105" s="5"/>
      <c r="H105" s="21"/>
      <c r="I105" s="30" t="s">
        <v>135</v>
      </c>
      <c r="J105" s="30"/>
      <c r="K105" s="30"/>
      <c r="L105" s="14">
        <f>C105</f>
        <v>31.2</v>
      </c>
      <c r="M105" s="1">
        <f>E105</f>
        <v>11.2</v>
      </c>
      <c r="N105" s="1">
        <f>IF(D105,L105/D105,0)</f>
        <v>4.3514644351464433</v>
      </c>
      <c r="O105" s="15">
        <f>L105-N105</f>
        <v>26.848535564853556</v>
      </c>
      <c r="P105" s="14">
        <f t="shared" si="30"/>
        <v>1107.5020920502093</v>
      </c>
      <c r="Q105" s="1">
        <f>SUM(L105:L107)</f>
        <v>31.2</v>
      </c>
      <c r="R105" s="15">
        <f>N105+Q106</f>
        <v>4.3514644351464433</v>
      </c>
      <c r="S105" s="14">
        <f>N105+H105*O105</f>
        <v>4.3514644351464433</v>
      </c>
      <c r="T105" s="1">
        <f t="shared" ref="T105:T107" si="31">IF(F105,(1-H105)*O105/M105*F105/IF(G105,G105,1),0)</f>
        <v>1107.5020920502093</v>
      </c>
      <c r="U105" s="1">
        <f>SUM(L105:L107)</f>
        <v>31.2</v>
      </c>
      <c r="V105" s="1">
        <f>S105+U106</f>
        <v>4.3514644351464433</v>
      </c>
    </row>
    <row r="106" spans="1:22">
      <c r="A106" s="33" t="s">
        <v>45</v>
      </c>
      <c r="B106" s="27">
        <v>3</v>
      </c>
      <c r="C106" s="5"/>
      <c r="D106" s="1"/>
      <c r="E106" s="1"/>
      <c r="F106" s="1"/>
      <c r="G106" s="5"/>
      <c r="H106" s="21"/>
      <c r="I106" s="30"/>
      <c r="J106" s="30"/>
      <c r="K106" s="30"/>
      <c r="L106" s="14">
        <f>C106</f>
        <v>0</v>
      </c>
      <c r="M106" s="1">
        <f>E106</f>
        <v>0</v>
      </c>
      <c r="N106" s="1">
        <f>IF(D106,L106/D106,0)</f>
        <v>0</v>
      </c>
      <c r="O106" s="15">
        <f>L106-N106</f>
        <v>0</v>
      </c>
      <c r="P106" s="14">
        <f t="shared" si="30"/>
        <v>0</v>
      </c>
      <c r="Q106" s="1">
        <f>SUM(L106:L107)</f>
        <v>0</v>
      </c>
      <c r="R106" s="15">
        <f>N106+Q107</f>
        <v>0</v>
      </c>
      <c r="S106" s="14">
        <f>N106+H106*O106</f>
        <v>0</v>
      </c>
      <c r="T106" s="1">
        <f t="shared" si="31"/>
        <v>0</v>
      </c>
      <c r="U106" s="1">
        <f>SUM(L106:L107)</f>
        <v>0</v>
      </c>
      <c r="V106" s="1">
        <f>S106+U107</f>
        <v>0</v>
      </c>
    </row>
    <row r="107" spans="1:22" ht="15" thickBot="1">
      <c r="A107" s="40"/>
      <c r="B107" s="28">
        <v>4</v>
      </c>
      <c r="C107" s="6"/>
      <c r="D107" s="7"/>
      <c r="E107" s="7"/>
      <c r="F107" s="7"/>
      <c r="G107" s="22"/>
      <c r="H107" s="23"/>
      <c r="I107" s="24"/>
      <c r="J107" s="24"/>
      <c r="K107" s="24"/>
      <c r="L107" s="16">
        <f>C107</f>
        <v>0</v>
      </c>
      <c r="M107" s="17">
        <f>E107</f>
        <v>0</v>
      </c>
      <c r="N107" s="17">
        <f>IF(D107,L107/D107,0)</f>
        <v>0</v>
      </c>
      <c r="O107" s="18">
        <f>L107-N107</f>
        <v>0</v>
      </c>
      <c r="P107" s="14">
        <f t="shared" si="30"/>
        <v>0</v>
      </c>
      <c r="Q107" s="17">
        <f>SUM(L107:L107)</f>
        <v>0</v>
      </c>
      <c r="R107" s="18">
        <f>N107</f>
        <v>0</v>
      </c>
      <c r="S107" s="16">
        <f>N107+H107*O107</f>
        <v>0</v>
      </c>
      <c r="T107" s="17">
        <f t="shared" si="31"/>
        <v>0</v>
      </c>
      <c r="U107" s="17">
        <f>SUM(L107:L107)</f>
        <v>0</v>
      </c>
      <c r="V107" s="17">
        <f>S107</f>
        <v>0</v>
      </c>
    </row>
    <row r="108" spans="1:22" ht="15" thickBot="1">
      <c r="A108" s="47"/>
      <c r="B108" s="26" t="s">
        <v>38</v>
      </c>
      <c r="C108" s="1" t="s">
        <v>4</v>
      </c>
      <c r="D108" s="1" t="s">
        <v>28</v>
      </c>
      <c r="E108" s="1" t="s">
        <v>265</v>
      </c>
      <c r="F108" s="69" t="s">
        <v>40</v>
      </c>
      <c r="G108" s="1" t="s">
        <v>29</v>
      </c>
      <c r="H108" s="1" t="s">
        <v>23</v>
      </c>
      <c r="I108" s="12" t="s">
        <v>24</v>
      </c>
      <c r="J108" s="12" t="s">
        <v>25</v>
      </c>
      <c r="K108" s="11" t="s">
        <v>19</v>
      </c>
      <c r="L108" s="12" t="s">
        <v>26</v>
      </c>
      <c r="M108" s="12" t="s">
        <v>20</v>
      </c>
      <c r="N108" s="12" t="s">
        <v>21</v>
      </c>
      <c r="O108" s="12" t="s">
        <v>22</v>
      </c>
      <c r="P108" s="13" t="s">
        <v>27</v>
      </c>
      <c r="Q108" s="85" t="s">
        <v>42</v>
      </c>
      <c r="R108" s="85"/>
      <c r="S108" s="85"/>
      <c r="T108" s="31" t="s">
        <v>50</v>
      </c>
      <c r="U108" s="35" t="s">
        <v>47</v>
      </c>
      <c r="V108" s="36" t="s">
        <v>264</v>
      </c>
    </row>
    <row r="109" spans="1:22">
      <c r="A109" s="47"/>
      <c r="B109" s="27" t="s">
        <v>30</v>
      </c>
      <c r="C109" s="8">
        <v>95</v>
      </c>
      <c r="D109" s="1">
        <f>IF(C109,C109+Q103,"")</f>
        <v>2655.2</v>
      </c>
      <c r="E109" s="72">
        <f>IF(C109,C109/D109,"")</f>
        <v>3.5778849050918951E-2</v>
      </c>
      <c r="F109" s="14">
        <f>IF(AND(C109&lt;&gt;"",N101&lt;&gt;""),(M103/F103*E101+M104/F104*D101)/(C109+Q103),"")</f>
        <v>1.5152713372361808</v>
      </c>
      <c r="G109" s="1">
        <f>IF(C109,IF(AND(F103&lt;&gt;0,C101&lt;&gt;0),M104,M104/F104*D101)/(C109+Q104),"")</f>
        <v>0.93890376641069617</v>
      </c>
      <c r="H109" s="1">
        <f>IF(C109,(M105)/(C109+Q105),"")</f>
        <v>8.8748019017432636E-2</v>
      </c>
      <c r="I109" s="1">
        <f>IF(C109,(M106)/(C109+Q106),"")</f>
        <v>0</v>
      </c>
      <c r="J109" s="1">
        <f>IF(C109,(M107)/(C109+Q107),"")</f>
        <v>0</v>
      </c>
      <c r="K109" s="14">
        <f>IF(AND(C109&lt;&gt;"",N101&lt;&gt;""),9.8*N101*LN((C109+Q103)/(C109+R103)),"")</f>
        <v>2281.8054491221437</v>
      </c>
      <c r="L109" s="1">
        <f>IF(C109,9.8*F104*LN((C109+Q104)/(C109+R104)),"")</f>
        <v>6869.882261769375</v>
      </c>
      <c r="M109" s="1">
        <f>IF(C109,9.8*F105*LN((C109+Q105)/(C109+R105)),"")</f>
        <v>1083.0211218024353</v>
      </c>
      <c r="N109" s="1">
        <f>IF(C109,9.8*F106*LN((C109+Q106)/(C109+R106)),"")</f>
        <v>0</v>
      </c>
      <c r="O109" s="1">
        <f>IF(C109,9.8*F107*LN((C109+Q107)/(C109+R107)),"")</f>
        <v>0</v>
      </c>
      <c r="P109" s="15">
        <f>IF(C109,SUM(K109:O109),"")</f>
        <v>10234.708832693954</v>
      </c>
      <c r="Q109" s="1"/>
      <c r="R109" s="1"/>
      <c r="S109" s="1"/>
      <c r="T109" s="32" t="str">
        <f>IF(OR(F109&lt;1,AND(F109="",G109&lt;1)),"起飞推重比不得小于0，空天飞机除外","")</f>
        <v/>
      </c>
      <c r="U109" s="1"/>
      <c r="V109" s="1"/>
    </row>
    <row r="110" spans="1:22">
      <c r="A110" s="33" t="s">
        <v>45</v>
      </c>
      <c r="B110" s="27" t="s">
        <v>31</v>
      </c>
      <c r="C110" s="9"/>
      <c r="D110" s="1" t="str">
        <f>IF(C110,C110+Q103,"")</f>
        <v/>
      </c>
      <c r="E110" s="72" t="str">
        <f t="shared" ref="E110:E112" si="32">IF(C110,C110/D110,"")</f>
        <v/>
      </c>
      <c r="F110" s="14" t="str">
        <f>IF(AND(C110&lt;&gt;"",N101&lt;&gt;""),(M103/F103*E101+M104/F104*D101)/(C110+Q103),"")</f>
        <v/>
      </c>
      <c r="G110" s="1" t="str">
        <f>IF(C110,IF(AND(F103&lt;&gt;0,C101&lt;&gt;0),M104,M104/F104*D101)/(C110+Q104),"")</f>
        <v/>
      </c>
      <c r="H110" s="1" t="str">
        <f>IF(C110,(M105)/(C110+Q105),"")</f>
        <v/>
      </c>
      <c r="I110" s="1" t="str">
        <f>IF(C110,(M106)/(C110+Q106),"")</f>
        <v/>
      </c>
      <c r="J110" s="1" t="str">
        <f>IF(C110,(M107)/(C110+Q107),"")</f>
        <v/>
      </c>
      <c r="K110" s="14" t="str">
        <f>IF(AND(C110&lt;&gt;"",N101&lt;&gt;""),9.8*N101*LN((C110+Q103)/(C110+R103)),"")</f>
        <v/>
      </c>
      <c r="L110" s="1" t="str">
        <f>IF(C110,9.8*F104*LN((C110+Q104)/(C110+R104)),"")</f>
        <v/>
      </c>
      <c r="M110" s="1" t="str">
        <f>IF(C110,9.8*F105*LN((C110+Q105)/(C110+R105)),"")</f>
        <v/>
      </c>
      <c r="N110" s="1" t="str">
        <f>IF(C110,9.8*F106*LN((C110+Q106)/(C110+R106)),"")</f>
        <v/>
      </c>
      <c r="O110" s="1" t="str">
        <f>IF(C110,9.8*F107*LN((C110+Q107)/(C110+R107)),"")</f>
        <v/>
      </c>
      <c r="P110" s="15" t="str">
        <f>IF(C110,SUM(K110:O110),"")</f>
        <v/>
      </c>
      <c r="Q110" s="1"/>
      <c r="R110" s="1"/>
      <c r="S110" s="1"/>
      <c r="T110" s="32" t="str">
        <f t="shared" ref="T110:T112" si="33">IF(OR(F110&lt;1,AND(F110="",G110&lt;1)),"起飞推重比不得小于0，空天飞机除外","")</f>
        <v/>
      </c>
      <c r="U110" s="1"/>
      <c r="V110" s="1"/>
    </row>
    <row r="111" spans="1:22">
      <c r="A111" s="40"/>
      <c r="B111" s="27" t="s">
        <v>32</v>
      </c>
      <c r="C111" s="9">
        <v>27</v>
      </c>
      <c r="D111" s="1">
        <f>IF(C111,C111+Q103,"")</f>
        <v>2587.1999999999998</v>
      </c>
      <c r="E111" s="72">
        <f t="shared" si="32"/>
        <v>1.0435992578849723E-2</v>
      </c>
      <c r="F111" s="14">
        <f>IF(AND(C111&lt;&gt;"",N101&lt;&gt;""),(M103/F103*E101+M104/F104*D101)/(C111+Q103),"")</f>
        <v>1.5550975783200014</v>
      </c>
      <c r="G111" s="1">
        <f>IF(C111,IF(AND(F103&lt;&gt;0,C101&lt;&gt;0),M104,M104/F104*D101)/(C111+Q104),"")</f>
        <v>1.0076119181828052</v>
      </c>
      <c r="H111" s="1">
        <f>IF(C111,(M105)/(C111+Q105),"")</f>
        <v>0.19243986254295531</v>
      </c>
      <c r="I111" s="1">
        <f>IF(C111,(M106)/(C111+Q106),"")</f>
        <v>0</v>
      </c>
      <c r="J111" s="1">
        <f>IF(C111,(M107)/(C111+Q107),"")</f>
        <v>0</v>
      </c>
      <c r="K111" s="14">
        <f>IF(AND(C111&lt;&gt;"",N101&lt;&gt;""),9.8*N101*LN((C111+Q103)/(C111+R103)),"")</f>
        <v>2374.9730163279019</v>
      </c>
      <c r="L111" s="1">
        <f>IF(C111,9.8*F104*LN((C111+Q104)/(C111+R104)),"")</f>
        <v>8275.5529574691263</v>
      </c>
      <c r="M111" s="1">
        <f>IF(C111,9.8*F105*LN((C111+Q105)/(C111+R105)),"")</f>
        <v>2800.8837261566714</v>
      </c>
      <c r="N111" s="1">
        <f>IF(C111,9.8*F106*LN((C111+Q106)/(C111+R106)),"")</f>
        <v>0</v>
      </c>
      <c r="O111" s="1">
        <f>IF(C111,9.8*F107*LN((C111+Q107)/(C111+R107)),"")</f>
        <v>0</v>
      </c>
      <c r="P111" s="15">
        <f>IF(C111,SUM(K111:O111),"")</f>
        <v>13451.4096999537</v>
      </c>
      <c r="Q111" s="1"/>
      <c r="R111" s="1"/>
      <c r="S111" s="1"/>
      <c r="T111" s="32" t="str">
        <f t="shared" si="33"/>
        <v/>
      </c>
      <c r="U111" s="1"/>
      <c r="V111" s="1"/>
    </row>
    <row r="112" spans="1:22" ht="15" thickBot="1">
      <c r="A112" s="47"/>
      <c r="B112" s="28" t="s">
        <v>5</v>
      </c>
      <c r="C112" s="10"/>
      <c r="D112" s="1" t="str">
        <f>IF(C112,C112+Q103,"")</f>
        <v/>
      </c>
      <c r="E112" s="72" t="str">
        <f t="shared" si="32"/>
        <v/>
      </c>
      <c r="F112" s="14" t="str">
        <f>IF(AND(C112&lt;&gt;"",N101&lt;&gt;""),(M103/F103*E101+M104/F104*D101)/(C112+Q103),"")</f>
        <v/>
      </c>
      <c r="G112" s="1" t="str">
        <f>IF(C112,IF(AND(F103&lt;&gt;0,C101&lt;&gt;0),M104,M104/F104*D101)/(C112+Q104),"")</f>
        <v/>
      </c>
      <c r="H112" s="1" t="str">
        <f>IF(C112,(M105)/(C112+Q105),"")</f>
        <v/>
      </c>
      <c r="I112" s="1" t="str">
        <f>IF(C112,(M106)/(C112+Q106),"")</f>
        <v/>
      </c>
      <c r="J112" s="1" t="str">
        <f>IF(C112,(M107)/(C112+Q107),"")</f>
        <v/>
      </c>
      <c r="K112" s="14" t="str">
        <f>IF(AND(C112&lt;&gt;"",N101&lt;&gt;""),9.8*N101*LN((C112+Q103)/(C112+R103)),"")</f>
        <v/>
      </c>
      <c r="L112" s="1" t="str">
        <f>IF(C112,9.8*F104*LN((C112+Q104)/(C112+R104)),"")</f>
        <v/>
      </c>
      <c r="M112" s="1" t="str">
        <f>IF(C112,9.8*F105*LN((C112+Q105)/(C112+R105)),"")</f>
        <v/>
      </c>
      <c r="N112" s="1" t="str">
        <f>IF(C112,9.8*F106*LN((C112+Q106)/(C112+R106)),"")</f>
        <v/>
      </c>
      <c r="O112" s="1" t="str">
        <f>IF(C112,9.8*F107*LN((C112+Q107)/(C112+R107)),"")</f>
        <v/>
      </c>
      <c r="P112" s="15" t="str">
        <f>IF(C112,SUM(K112:O112),"")</f>
        <v/>
      </c>
      <c r="Q112" s="17"/>
      <c r="R112" s="17"/>
      <c r="S112" s="17"/>
      <c r="T112" s="32" t="str">
        <f t="shared" si="33"/>
        <v/>
      </c>
      <c r="U112" s="1"/>
      <c r="V112" s="1"/>
    </row>
    <row r="113" spans="1:22" ht="15" thickBot="1">
      <c r="A113" s="33" t="s">
        <v>45</v>
      </c>
      <c r="B113" s="26" t="s">
        <v>37</v>
      </c>
      <c r="C113" s="1" t="s">
        <v>54</v>
      </c>
      <c r="D113" s="12" t="s">
        <v>28</v>
      </c>
      <c r="E113" s="12" t="s">
        <v>266</v>
      </c>
      <c r="F113" s="11" t="s">
        <v>40</v>
      </c>
      <c r="G113" s="12" t="s">
        <v>29</v>
      </c>
      <c r="H113" s="12" t="s">
        <v>23</v>
      </c>
      <c r="I113" s="12" t="s">
        <v>24</v>
      </c>
      <c r="J113" s="12" t="s">
        <v>25</v>
      </c>
      <c r="K113" s="11" t="s">
        <v>19</v>
      </c>
      <c r="L113" s="12" t="s">
        <v>26</v>
      </c>
      <c r="M113" s="12" t="s">
        <v>20</v>
      </c>
      <c r="N113" s="12" t="s">
        <v>21</v>
      </c>
      <c r="O113" s="12" t="s">
        <v>22</v>
      </c>
      <c r="P113" s="13" t="s">
        <v>27</v>
      </c>
      <c r="Q113" s="85" t="s">
        <v>42</v>
      </c>
      <c r="R113" s="85"/>
      <c r="S113" s="85"/>
      <c r="T113" s="12" t="s">
        <v>51</v>
      </c>
      <c r="U113" s="37" t="s">
        <v>45</v>
      </c>
      <c r="V113" s="38" t="s">
        <v>48</v>
      </c>
    </row>
    <row r="114" spans="1:22">
      <c r="A114" s="40"/>
      <c r="B114" s="27" t="s">
        <v>30</v>
      </c>
      <c r="C114" s="8"/>
      <c r="D114" s="1" t="str">
        <f>IF(C114,C114+Q103,"")</f>
        <v/>
      </c>
      <c r="E114" s="72" t="str">
        <f>IF(C114,C114/D114,"")</f>
        <v/>
      </c>
      <c r="F114" s="14" t="str">
        <f>IF(AND(C114&lt;&gt;"",N101&lt;&gt;""),(M103/F103*E101+M104/F104*D101)/(C114+U103),"")</f>
        <v/>
      </c>
      <c r="G114" s="1" t="str">
        <f>IF(C114,IF(AND(F103&lt;&gt;0,C101&lt;&gt;0),M104,M104/F104*D101)/(C114+U104),"")</f>
        <v/>
      </c>
      <c r="H114" s="1" t="str">
        <f>IF(C114,(M105)/(C114+U105),"")</f>
        <v/>
      </c>
      <c r="I114" s="1" t="str">
        <f>IF(C114,(M106)/(C114+U106),"")</f>
        <v/>
      </c>
      <c r="J114" s="1" t="str">
        <f>IF(C114,(M107)/(C114+U107),"")</f>
        <v/>
      </c>
      <c r="K114" s="14" t="str">
        <f>IF(AND(C114&lt;&gt;"",N101&lt;&gt;""),9.8*N101*LN((C114+U103)/(C114+V103)),"")</f>
        <v/>
      </c>
      <c r="L114" s="1" t="str">
        <f>IF(C114,9.8*F104*LN((C114+U104)/(C114+V104)),"")</f>
        <v/>
      </c>
      <c r="M114" s="1" t="str">
        <f>IF(C114,9.8*F105*LN((C114+U105)/(C114+V105)),"")</f>
        <v/>
      </c>
      <c r="N114" s="1" t="str">
        <f>IF(C114,9.8*F106*LN((C114+U106)/(C114+V106)),"")</f>
        <v/>
      </c>
      <c r="O114" s="1" t="str">
        <f>IF(C114,9.8*F107*LN((C114+U107)/(C114+V107)),"")</f>
        <v/>
      </c>
      <c r="P114" s="15" t="str">
        <f>IF(C114,SUM(K114:O114),"")</f>
        <v/>
      </c>
      <c r="Q114" s="1"/>
      <c r="R114" s="1"/>
      <c r="S114" s="1"/>
      <c r="T114" s="32" t="str">
        <f>IF(OR(F114&lt;1,AND(F114="",G114&lt;1)),"起飞推重比不得小于0，空天飞机除外","")</f>
        <v/>
      </c>
      <c r="U114" s="1"/>
      <c r="V114" s="1"/>
    </row>
    <row r="115" spans="1:22">
      <c r="A115" s="47"/>
      <c r="B115" s="27" t="s">
        <v>31</v>
      </c>
      <c r="C115" s="9"/>
      <c r="D115" s="1" t="str">
        <f>IF(C115,C115+Q103,"")</f>
        <v/>
      </c>
      <c r="E115" s="72" t="str">
        <f t="shared" ref="E115:E117" si="34">IF(C115,C115/D115,"")</f>
        <v/>
      </c>
      <c r="F115" s="14" t="str">
        <f>IF(AND(C115&lt;&gt;"",N101&lt;&gt;""),(M103/F103*E101+M104/F104*D101)/(C115+U103),"")</f>
        <v/>
      </c>
      <c r="G115" s="1" t="str">
        <f>IF(C115,IF(AND(F103&lt;&gt;0,C101&lt;&gt;0),M104,M104/F104*D101)/(C115+U104),"")</f>
        <v/>
      </c>
      <c r="H115" s="1" t="str">
        <f>IF(C115,(M105)/(C115+U105),"")</f>
        <v/>
      </c>
      <c r="I115" s="1" t="str">
        <f>IF(C115,(M106)/(C115+U106),"")</f>
        <v/>
      </c>
      <c r="J115" s="1" t="str">
        <f>IF(C115,(M107)/(C115+U107),"")</f>
        <v/>
      </c>
      <c r="K115" s="14" t="str">
        <f>IF(AND(C115&lt;&gt;"",N101&lt;&gt;""),9.8*N101*LN((C115+U103)/(C115+V103)),"")</f>
        <v/>
      </c>
      <c r="L115" s="1" t="str">
        <f>IF(C115,9.8*F104*LN((C115+U104)/(C115+V104)),"")</f>
        <v/>
      </c>
      <c r="M115" s="1" t="str">
        <f>IF(C115,9.8*F105*LN((C115+U105)/(C115+V105)),"")</f>
        <v/>
      </c>
      <c r="N115" s="1" t="str">
        <f>IF(C115,9.8*F106*LN((C115+U106)/(C115+V106)),"")</f>
        <v/>
      </c>
      <c r="O115" s="1" t="str">
        <f>IF(C115,9.8*F107*LN((C115+U107)/(C115+V107)),"")</f>
        <v/>
      </c>
      <c r="P115" s="15" t="str">
        <f>IF(C115,SUM(K115:O115),"")</f>
        <v/>
      </c>
      <c r="Q115" s="1"/>
      <c r="R115" s="1"/>
      <c r="S115" s="1"/>
      <c r="T115" s="32" t="str">
        <f t="shared" ref="T115:T117" si="35">IF(OR(F115&lt;1,AND(F115="",G115&lt;1)),"起飞推重比不得小于0，空天飞机除外","")</f>
        <v/>
      </c>
      <c r="U115" s="1"/>
      <c r="V115" s="1"/>
    </row>
    <row r="116" spans="1:22">
      <c r="A116" s="47"/>
      <c r="B116" s="27" t="s">
        <v>32</v>
      </c>
      <c r="C116" s="9"/>
      <c r="D116" s="1" t="str">
        <f>IF(C116,C116+Q103,"")</f>
        <v/>
      </c>
      <c r="E116" s="72" t="str">
        <f t="shared" si="34"/>
        <v/>
      </c>
      <c r="F116" s="14" t="str">
        <f>IF(AND(C116&lt;&gt;"",N101&lt;&gt;""),(M103/F103*E101+M104/F104*D101)/(C116+U103),"")</f>
        <v/>
      </c>
      <c r="G116" s="1" t="str">
        <f>IF(C116,IF(AND(F103&lt;&gt;0,C101&lt;&gt;0),M104,M104/F104*D101)/(C116+U104),"")</f>
        <v/>
      </c>
      <c r="H116" s="1" t="str">
        <f>IF(C116,(M105)/(C116+U105),"")</f>
        <v/>
      </c>
      <c r="I116" s="1" t="str">
        <f>IF(C116,(M106)/(C116+U106),"")</f>
        <v/>
      </c>
      <c r="J116" s="1" t="str">
        <f>IF(C116,(M107)/(C116+U107),"")</f>
        <v/>
      </c>
      <c r="K116" s="14" t="str">
        <f>IF(AND(C116&lt;&gt;"",N101&lt;&gt;""),9.8*N101*LN((C116+U103)/(C116+V103)),"")</f>
        <v/>
      </c>
      <c r="L116" s="1" t="str">
        <f>IF(C116,9.8*F104*LN((C116+U104)/(C116+V104)),"")</f>
        <v/>
      </c>
      <c r="M116" s="1" t="str">
        <f>IF(C116,9.8*F105*LN((C116+U105)/(C116+V105)),"")</f>
        <v/>
      </c>
      <c r="N116" s="1" t="str">
        <f>IF(C116,9.8*F106*LN((C116+U106)/(C116+V106)),"")</f>
        <v/>
      </c>
      <c r="O116" s="1" t="str">
        <f>IF(C116,9.8*F107*LN((C116+U107)/(C116+V107)),"")</f>
        <v/>
      </c>
      <c r="P116" s="15" t="str">
        <f>IF(C116,SUM(K116:O116),"")</f>
        <v/>
      </c>
      <c r="Q116" s="1"/>
      <c r="R116" s="1"/>
      <c r="S116" s="1"/>
      <c r="T116" s="32" t="str">
        <f t="shared" si="35"/>
        <v/>
      </c>
      <c r="U116" s="1"/>
      <c r="V116" s="1"/>
    </row>
    <row r="117" spans="1:22" ht="15" thickBot="1">
      <c r="A117" s="48" t="s">
        <v>45</v>
      </c>
      <c r="B117" s="49" t="s">
        <v>5</v>
      </c>
      <c r="C117" s="50"/>
      <c r="D117" s="25" t="str">
        <f>IF(C117,C117+Q103,"")</f>
        <v/>
      </c>
      <c r="E117" s="73" t="str">
        <f t="shared" si="34"/>
        <v/>
      </c>
      <c r="F117" s="70" t="str">
        <f>IF(AND(C117&lt;&gt;"",N101&lt;&gt;""),(M103/F103*E101+M104/F104*D101)/(C117+U103),"")</f>
        <v/>
      </c>
      <c r="G117" s="25" t="str">
        <f>IF(C117,IF(AND(F103&lt;&gt;0,C101&lt;&gt;0),M104,M104/F104*D101)/(C117+U104),"")</f>
        <v/>
      </c>
      <c r="H117" s="25" t="str">
        <f>IF(C117,(M105)/(C117+U105),"")</f>
        <v/>
      </c>
      <c r="I117" s="25" t="str">
        <f>IF(C117,(M106)/(C117+U106),"")</f>
        <v/>
      </c>
      <c r="J117" s="25" t="str">
        <f>IF(C117,(M107)/(C117+U107),"")</f>
        <v/>
      </c>
      <c r="K117" s="70" t="str">
        <f>IF(AND(C117&lt;&gt;"",N101&lt;&gt;""),9.8*N101*LN((C117+U103)/(C117+V103)),"")</f>
        <v/>
      </c>
      <c r="L117" s="25" t="str">
        <f>IF(C117,9.8*F104*LN((C117+U104)/(C117+V104)),"")</f>
        <v/>
      </c>
      <c r="M117" s="25" t="str">
        <f>IF(C117,9.8*F105*LN((C117+U105)/(C117+V105)),"")</f>
        <v/>
      </c>
      <c r="N117" s="25" t="str">
        <f>IF(C117,9.8*F106*LN((C117+U106)/(C117+V106)),"")</f>
        <v/>
      </c>
      <c r="O117" s="25" t="str">
        <f>IF(C117,9.8*F107*LN((C117+U107)/(C117+V107)),"")</f>
        <v/>
      </c>
      <c r="P117" s="71" t="str">
        <f>IF(C117,SUM(K117:O117),"")</f>
        <v/>
      </c>
      <c r="Q117" s="25"/>
      <c r="R117" s="25"/>
      <c r="S117" s="25"/>
      <c r="T117" s="51" t="str">
        <f t="shared" si="35"/>
        <v/>
      </c>
      <c r="U117" s="25"/>
      <c r="V117" s="25"/>
    </row>
    <row r="118" spans="1:22" ht="15" thickBot="1"/>
    <row r="119" spans="1:22" ht="15" thickBot="1">
      <c r="A119" s="52" t="s">
        <v>124</v>
      </c>
      <c r="B119" s="52"/>
      <c r="C119" s="29" t="s">
        <v>0</v>
      </c>
      <c r="D119" s="90" t="s">
        <v>41</v>
      </c>
      <c r="E119" s="90"/>
      <c r="F119" s="43"/>
      <c r="G119" s="43"/>
      <c r="H119" s="43"/>
      <c r="I119" s="86" t="s">
        <v>42</v>
      </c>
      <c r="J119" s="86"/>
      <c r="K119" s="86"/>
      <c r="L119" s="54" t="s">
        <v>70</v>
      </c>
      <c r="M119" s="86" t="s">
        <v>71</v>
      </c>
      <c r="N119" s="86"/>
      <c r="O119" s="87"/>
      <c r="P119" s="29" t="s">
        <v>49</v>
      </c>
      <c r="Q119" s="34" t="str">
        <f>IF(OR(P123&lt;P122,T123&lt;T122),"芯级燃烧时间不得小于助推燃烧时间！","")</f>
        <v/>
      </c>
      <c r="R119" s="44"/>
      <c r="S119" s="45"/>
      <c r="T119" s="29"/>
      <c r="U119" s="46" t="s">
        <v>45</v>
      </c>
      <c r="V119" s="46" t="s">
        <v>48</v>
      </c>
    </row>
    <row r="120" spans="1:22" ht="15" thickBot="1">
      <c r="A120" s="40" t="s">
        <v>125</v>
      </c>
      <c r="B120" s="39"/>
      <c r="C120" s="2">
        <v>2</v>
      </c>
      <c r="D120" s="2">
        <v>366</v>
      </c>
      <c r="E120" s="2">
        <v>258</v>
      </c>
      <c r="F120" s="41"/>
      <c r="G120" s="42"/>
      <c r="H120" s="42"/>
      <c r="I120" s="24" t="s">
        <v>312</v>
      </c>
      <c r="J120" s="24"/>
      <c r="K120" s="24"/>
      <c r="L120" s="55">
        <f>IFERROR(IF(AND(F122&lt;&gt;0,C120&lt;&gt;0),M122/F122*E120+M123/F123*D120,M123/F123*D120),0)</f>
        <v>4839.7865926109298</v>
      </c>
      <c r="M120" s="53" t="s">
        <v>45</v>
      </c>
      <c r="N120" s="17">
        <f>IF(AND(F122&lt;&gt;0,C120&lt;&gt;0),(M122+M123)/(M122/F122+M123/F123),"")</f>
        <v>305.21905814386355</v>
      </c>
      <c r="O120" s="56" t="s">
        <v>45</v>
      </c>
      <c r="P120" s="89" t="s">
        <v>17</v>
      </c>
      <c r="Q120" s="89"/>
      <c r="R120" s="91"/>
      <c r="S120" s="88" t="s">
        <v>18</v>
      </c>
      <c r="T120" s="89"/>
      <c r="U120" s="89"/>
      <c r="V120" s="89"/>
    </row>
    <row r="121" spans="1:22" ht="15" thickBot="1">
      <c r="A121" s="33" t="s">
        <v>45</v>
      </c>
      <c r="B121" s="26" t="s">
        <v>39</v>
      </c>
      <c r="C121" s="1" t="s">
        <v>60</v>
      </c>
      <c r="D121" s="1" t="s">
        <v>61</v>
      </c>
      <c r="E121" s="1" t="s">
        <v>62</v>
      </c>
      <c r="F121" s="1" t="s">
        <v>63</v>
      </c>
      <c r="G121" s="1" t="s">
        <v>64</v>
      </c>
      <c r="H121" s="1" t="s">
        <v>65</v>
      </c>
      <c r="I121" s="60" t="s">
        <v>139</v>
      </c>
      <c r="J121" s="24"/>
      <c r="K121" s="24"/>
      <c r="L121" s="11" t="s">
        <v>6</v>
      </c>
      <c r="M121" s="12" t="s">
        <v>69</v>
      </c>
      <c r="N121" s="12" t="s">
        <v>13</v>
      </c>
      <c r="O121" s="13" t="s">
        <v>14</v>
      </c>
      <c r="P121" s="14" t="s">
        <v>12</v>
      </c>
      <c r="Q121" s="1" t="s">
        <v>10</v>
      </c>
      <c r="R121" s="15" t="s">
        <v>11</v>
      </c>
      <c r="S121" s="14" t="s">
        <v>13</v>
      </c>
      <c r="T121" s="1" t="s">
        <v>12</v>
      </c>
      <c r="U121" s="1" t="s">
        <v>10</v>
      </c>
      <c r="V121" s="1" t="s">
        <v>11</v>
      </c>
    </row>
    <row r="122" spans="1:22">
      <c r="A122" s="40"/>
      <c r="B122" s="27" t="s">
        <v>3</v>
      </c>
      <c r="C122" s="3">
        <v>793</v>
      </c>
      <c r="D122" s="4">
        <v>9.44</v>
      </c>
      <c r="E122" s="4">
        <v>2262.3000000000002</v>
      </c>
      <c r="F122" s="4">
        <v>286</v>
      </c>
      <c r="G122" s="19"/>
      <c r="H122" s="20"/>
      <c r="I122" s="24" t="s">
        <v>136</v>
      </c>
      <c r="J122" s="24"/>
      <c r="K122" s="24"/>
      <c r="L122" s="14">
        <f>C122*C120</f>
        <v>1586</v>
      </c>
      <c r="M122" s="1">
        <f>E122*C120</f>
        <v>4524.6000000000004</v>
      </c>
      <c r="N122" s="1">
        <f>IF(D122,L122/D122,0)</f>
        <v>168.0084745762712</v>
      </c>
      <c r="O122" s="15">
        <f>L122-N122</f>
        <v>1417.9915254237287</v>
      </c>
      <c r="P122" s="14">
        <f>IF(AND(F122&lt;&gt;0,C120&lt;&gt;0),O122/M122*F122/IF(G122,G122,1),0)</f>
        <v>89.631254977497761</v>
      </c>
      <c r="Q122" s="1">
        <f>SUM(L122:L126)</f>
        <v>2797</v>
      </c>
      <c r="R122" s="15">
        <f>N122+Q123</f>
        <v>1193.3408992766449</v>
      </c>
      <c r="S122" s="14">
        <f>N122+H122*O122</f>
        <v>168.0084745762712</v>
      </c>
      <c r="T122" s="1">
        <f>IF(AND(F122&lt;&gt;0,C120&lt;&gt;0),(1-H122)*O122/M122*F122/IF(G122,G122,1),0)</f>
        <v>89.631254977497761</v>
      </c>
      <c r="U122" s="1">
        <f>SUM(L122:L126)</f>
        <v>2797</v>
      </c>
      <c r="V122" s="1">
        <f>S122+U123</f>
        <v>1193.3408992766449</v>
      </c>
    </row>
    <row r="123" spans="1:22">
      <c r="A123" s="47"/>
      <c r="B123" s="27">
        <v>1</v>
      </c>
      <c r="C123" s="5">
        <v>1065</v>
      </c>
      <c r="D123" s="1">
        <v>12.49</v>
      </c>
      <c r="E123" s="1">
        <v>936.3</v>
      </c>
      <c r="F123" s="1">
        <v>452</v>
      </c>
      <c r="G123" s="5">
        <v>1</v>
      </c>
      <c r="H123" s="21"/>
      <c r="I123" s="30" t="s">
        <v>134</v>
      </c>
      <c r="J123" s="30"/>
      <c r="K123" s="30"/>
      <c r="L123" s="14">
        <f>C123</f>
        <v>1065</v>
      </c>
      <c r="M123" s="1">
        <f>E123</f>
        <v>936.3</v>
      </c>
      <c r="N123" s="1">
        <f>IF(D123,L123/D123,0)</f>
        <v>85.268214571657325</v>
      </c>
      <c r="O123" s="15">
        <f>L123-N123</f>
        <v>979.73178542834262</v>
      </c>
      <c r="P123" s="14">
        <f t="shared" ref="P123:P126" si="36">IF(F123,O123/M123*F123/IF(G123,G123,1),0)</f>
        <v>472.96674891980228</v>
      </c>
      <c r="Q123" s="1">
        <f>IF(F123,SUM(L123:L126)-P122*M123/F123*IF(G123,G123,1),0)</f>
        <v>1025.3324247003736</v>
      </c>
      <c r="R123" s="15">
        <f>N123+Q124</f>
        <v>231.26821457165732</v>
      </c>
      <c r="S123" s="14">
        <f>N123+H123*O123</f>
        <v>85.268214571657325</v>
      </c>
      <c r="T123" s="1">
        <f>IF(F123,(1-H123)*O123/M123*F123/IF(G123,G123,1),0)</f>
        <v>472.96674891980228</v>
      </c>
      <c r="U123" s="1">
        <f>IF(F123,SUM(L123:L126)-T122*M123/F123*IF(G123,G123,1),0)</f>
        <v>1025.3324247003736</v>
      </c>
      <c r="V123" s="1">
        <f>S123+U124</f>
        <v>231.26821457165732</v>
      </c>
    </row>
    <row r="124" spans="1:22">
      <c r="A124" s="47"/>
      <c r="B124" s="27">
        <v>2</v>
      </c>
      <c r="C124" s="5">
        <v>146</v>
      </c>
      <c r="D124" s="1">
        <v>9</v>
      </c>
      <c r="E124" s="1">
        <v>44.9</v>
      </c>
      <c r="F124" s="1">
        <v>462</v>
      </c>
      <c r="G124" s="5"/>
      <c r="H124" s="21"/>
      <c r="I124" s="30" t="s">
        <v>137</v>
      </c>
      <c r="J124" s="30"/>
      <c r="K124" s="30"/>
      <c r="L124" s="14">
        <f>C124</f>
        <v>146</v>
      </c>
      <c r="M124" s="1">
        <f>E124</f>
        <v>44.9</v>
      </c>
      <c r="N124" s="1">
        <f>IF(D124,L124/D124,0)</f>
        <v>16.222222222222221</v>
      </c>
      <c r="O124" s="15">
        <f>L124-N124</f>
        <v>129.77777777777777</v>
      </c>
      <c r="P124" s="14">
        <f t="shared" si="36"/>
        <v>1335.3526354862656</v>
      </c>
      <c r="Q124" s="1">
        <f>SUM(L124:L126)</f>
        <v>146</v>
      </c>
      <c r="R124" s="15">
        <f>N124+Q125</f>
        <v>16.222222222222221</v>
      </c>
      <c r="S124" s="14">
        <f>N124+H124*O124</f>
        <v>16.222222222222221</v>
      </c>
      <c r="T124" s="1">
        <f t="shared" ref="T124:T126" si="37">IF(F124,(1-H124)*O124/M124*F124/IF(G124,G124,1),0)</f>
        <v>1335.3526354862656</v>
      </c>
      <c r="U124" s="1">
        <f>SUM(L124:L126)</f>
        <v>146</v>
      </c>
      <c r="V124" s="1">
        <f>S124+U125</f>
        <v>16.222222222222221</v>
      </c>
    </row>
    <row r="125" spans="1:22">
      <c r="A125" s="33" t="s">
        <v>45</v>
      </c>
      <c r="B125" s="27">
        <v>3</v>
      </c>
      <c r="C125" s="5"/>
      <c r="D125" s="1"/>
      <c r="E125" s="1"/>
      <c r="F125" s="1"/>
      <c r="G125" s="5"/>
      <c r="H125" s="21"/>
      <c r="I125" s="30"/>
      <c r="J125" s="30"/>
      <c r="K125" s="30"/>
      <c r="L125" s="14">
        <f>C125</f>
        <v>0</v>
      </c>
      <c r="M125" s="1">
        <f>E125</f>
        <v>0</v>
      </c>
      <c r="N125" s="1">
        <f>IF(D125,L125/D125,0)</f>
        <v>0</v>
      </c>
      <c r="O125" s="15">
        <f>L125-N125</f>
        <v>0</v>
      </c>
      <c r="P125" s="14">
        <f t="shared" si="36"/>
        <v>0</v>
      </c>
      <c r="Q125" s="1">
        <f>SUM(L125:L126)</f>
        <v>0</v>
      </c>
      <c r="R125" s="15">
        <f>N125+Q126</f>
        <v>0</v>
      </c>
      <c r="S125" s="14">
        <f>N125+H125*O125</f>
        <v>0</v>
      </c>
      <c r="T125" s="1">
        <f t="shared" si="37"/>
        <v>0</v>
      </c>
      <c r="U125" s="1">
        <f>SUM(L125:L126)</f>
        <v>0</v>
      </c>
      <c r="V125" s="1">
        <f>S125+U126</f>
        <v>0</v>
      </c>
    </row>
    <row r="126" spans="1:22" ht="15" thickBot="1">
      <c r="A126" s="40"/>
      <c r="B126" s="28">
        <v>4</v>
      </c>
      <c r="C126" s="6"/>
      <c r="D126" s="7"/>
      <c r="E126" s="7"/>
      <c r="F126" s="7"/>
      <c r="G126" s="22"/>
      <c r="H126" s="23"/>
      <c r="I126" s="24"/>
      <c r="J126" s="24"/>
      <c r="K126" s="24"/>
      <c r="L126" s="16">
        <f>C126</f>
        <v>0</v>
      </c>
      <c r="M126" s="17">
        <f>E126</f>
        <v>0</v>
      </c>
      <c r="N126" s="17">
        <f>IF(D126,L126/D126,0)</f>
        <v>0</v>
      </c>
      <c r="O126" s="18">
        <f>L126-N126</f>
        <v>0</v>
      </c>
      <c r="P126" s="14">
        <f t="shared" si="36"/>
        <v>0</v>
      </c>
      <c r="Q126" s="17">
        <f>SUM(L126:L126)</f>
        <v>0</v>
      </c>
      <c r="R126" s="18">
        <f>N126</f>
        <v>0</v>
      </c>
      <c r="S126" s="16">
        <f>N126+H126*O126</f>
        <v>0</v>
      </c>
      <c r="T126" s="17">
        <f t="shared" si="37"/>
        <v>0</v>
      </c>
      <c r="U126" s="17">
        <f>SUM(L126:L126)</f>
        <v>0</v>
      </c>
      <c r="V126" s="17">
        <f>S126</f>
        <v>0</v>
      </c>
    </row>
    <row r="127" spans="1:22" ht="15" thickBot="1">
      <c r="A127" s="47"/>
      <c r="B127" s="26" t="s">
        <v>38</v>
      </c>
      <c r="C127" s="1" t="s">
        <v>4</v>
      </c>
      <c r="D127" s="1" t="s">
        <v>28</v>
      </c>
      <c r="E127" s="1" t="s">
        <v>265</v>
      </c>
      <c r="F127" s="69" t="s">
        <v>40</v>
      </c>
      <c r="G127" s="1" t="s">
        <v>29</v>
      </c>
      <c r="H127" s="1" t="s">
        <v>23</v>
      </c>
      <c r="I127" s="12" t="s">
        <v>24</v>
      </c>
      <c r="J127" s="12" t="s">
        <v>25</v>
      </c>
      <c r="K127" s="11" t="s">
        <v>19</v>
      </c>
      <c r="L127" s="12" t="s">
        <v>26</v>
      </c>
      <c r="M127" s="12" t="s">
        <v>20</v>
      </c>
      <c r="N127" s="12" t="s">
        <v>21</v>
      </c>
      <c r="O127" s="12" t="s">
        <v>22</v>
      </c>
      <c r="P127" s="13" t="s">
        <v>27</v>
      </c>
      <c r="Q127" s="94" t="s">
        <v>42</v>
      </c>
      <c r="R127" s="85"/>
      <c r="S127" s="85"/>
      <c r="T127" s="31" t="s">
        <v>50</v>
      </c>
      <c r="U127" s="35" t="s">
        <v>47</v>
      </c>
      <c r="V127" s="36" t="s">
        <v>264</v>
      </c>
    </row>
    <row r="128" spans="1:22">
      <c r="A128" s="47"/>
      <c r="B128" s="27" t="s">
        <v>30</v>
      </c>
      <c r="C128" s="8">
        <v>130</v>
      </c>
      <c r="D128" s="1">
        <f>IF(C128,C128+Q122,"")</f>
        <v>2927</v>
      </c>
      <c r="E128" s="72">
        <f>IF(C128,C128/D128,"")</f>
        <v>4.4414075845575676E-2</v>
      </c>
      <c r="F128" s="14">
        <f>IF(AND(C128&lt;&gt;"",N120&lt;&gt;""),(M122/F122*E120+M123/F123*D120)/(C128+Q122),"")</f>
        <v>1.6534972984663239</v>
      </c>
      <c r="G128" s="1">
        <f>IF(C128,IF(AND(F122&lt;&gt;0,C120&lt;&gt;0),M123,M123/F123*D120)/(C128+Q123),"")</f>
        <v>0.81041610187892199</v>
      </c>
      <c r="H128" s="1">
        <f>IF(C128,(M124)/(C128+Q124),"")</f>
        <v>0.16268115942028985</v>
      </c>
      <c r="I128" s="1">
        <f>IF(C128,(M125)/(C128+Q125),"")</f>
        <v>0</v>
      </c>
      <c r="J128" s="1">
        <f>IF(C128,(M126)/(C128+Q126),"")</f>
        <v>0</v>
      </c>
      <c r="K128" s="14">
        <f>IF(AND(C128&lt;&gt;"",N120&lt;&gt;""),9.8*N120*LN((C128+Q122)/(C128+R122)),"")</f>
        <v>2374.4275953015617</v>
      </c>
      <c r="L128" s="1">
        <f>IF(C128,9.8*F123*LN((C128+Q123)/(C128+R123)),"")</f>
        <v>5149.5107114908087</v>
      </c>
      <c r="M128" s="1">
        <f>IF(C128,9.8*F124*LN((C128+Q124)/(C128+R124)),"")</f>
        <v>2876.2635341967211</v>
      </c>
      <c r="N128" s="1">
        <f>IF(C128,9.8*F125*LN((C128+Q125)/(C128+R125)),"")</f>
        <v>0</v>
      </c>
      <c r="O128" s="1">
        <f>IF(C128,9.8*F126*LN((C128+Q126)/(C128+R126)),"")</f>
        <v>0</v>
      </c>
      <c r="P128" s="15">
        <f>IF(C128,SUM(K128:O128),"")</f>
        <v>10400.201840989092</v>
      </c>
      <c r="Q128" s="1"/>
      <c r="R128" s="1"/>
      <c r="S128" s="1"/>
      <c r="T128" s="32" t="str">
        <f>IF(OR(F128&lt;1,AND(F128="",G128&lt;1)),"起飞推重比不得小于0，空天飞机除外","")</f>
        <v/>
      </c>
      <c r="U128" s="1"/>
      <c r="V128" s="1"/>
    </row>
    <row r="129" spans="1:22">
      <c r="A129" s="33" t="s">
        <v>45</v>
      </c>
      <c r="B129" s="27" t="s">
        <v>31</v>
      </c>
      <c r="C129" s="9"/>
      <c r="D129" s="1" t="str">
        <f>IF(C129,C129+Q122,"")</f>
        <v/>
      </c>
      <c r="E129" s="72" t="str">
        <f t="shared" ref="E129:E131" si="38">IF(C129,C129/D129,"")</f>
        <v/>
      </c>
      <c r="F129" s="14" t="str">
        <f>IF(AND(C129&lt;&gt;"",N120&lt;&gt;""),(M122/F122*E120+M123/F123*D120)/(C129+Q122),"")</f>
        <v/>
      </c>
      <c r="G129" s="1" t="str">
        <f>IF(C129,IF(AND(F122&lt;&gt;0,C120&lt;&gt;0),M123,M123/F123*D120)/(C129+Q123),"")</f>
        <v/>
      </c>
      <c r="H129" s="1" t="str">
        <f>IF(C129,(M124)/(C129+Q124),"")</f>
        <v/>
      </c>
      <c r="I129" s="1" t="str">
        <f>IF(C129,(M125)/(C129+Q125),"")</f>
        <v/>
      </c>
      <c r="J129" s="1" t="str">
        <f>IF(C129,(M126)/(C129+Q126),"")</f>
        <v/>
      </c>
      <c r="K129" s="14" t="str">
        <f>IF(AND(C129&lt;&gt;"",N120&lt;&gt;""),9.8*N120*LN((C129+Q122)/(C129+R122)),"")</f>
        <v/>
      </c>
      <c r="L129" s="1" t="str">
        <f>IF(C129,9.8*F123*LN((C129+Q123)/(C129+R123)),"")</f>
        <v/>
      </c>
      <c r="M129" s="1" t="str">
        <f>IF(C129,9.8*F124*LN((C129+Q124)/(C129+R124)),"")</f>
        <v/>
      </c>
      <c r="N129" s="1" t="str">
        <f>IF(C129,9.8*F125*LN((C129+Q125)/(C129+R125)),"")</f>
        <v/>
      </c>
      <c r="O129" s="1" t="str">
        <f>IF(C129,9.8*F126*LN((C129+Q126)/(C129+R126)),"")</f>
        <v/>
      </c>
      <c r="P129" s="15" t="str">
        <f>IF(C129,SUM(K129:O129),"")</f>
        <v/>
      </c>
      <c r="Q129" s="1"/>
      <c r="R129" s="1"/>
      <c r="S129" s="1"/>
      <c r="T129" s="32" t="str">
        <f t="shared" ref="T129:T131" si="39">IF(OR(F129&lt;1,AND(F129="",G129&lt;1)),"起飞推重比不得小于0，空天飞机除外","")</f>
        <v/>
      </c>
      <c r="U129" s="1"/>
      <c r="V129" s="1"/>
    </row>
    <row r="130" spans="1:22">
      <c r="A130" s="40"/>
      <c r="B130" s="27" t="s">
        <v>32</v>
      </c>
      <c r="C130" s="9">
        <v>46</v>
      </c>
      <c r="D130" s="1">
        <f>IF(C130,C130+Q122,"")</f>
        <v>2843</v>
      </c>
      <c r="E130" s="72">
        <f t="shared" si="38"/>
        <v>1.6180091452690819E-2</v>
      </c>
      <c r="F130" s="14">
        <f>IF(AND(C130&lt;&gt;"",N120&lt;&gt;""),(M122/F122*E120+M123/F123*D120)/(C130+Q122),"")</f>
        <v>1.7023519495641681</v>
      </c>
      <c r="G130" s="1">
        <f>IF(C130,IF(AND(F122&lt;&gt;0,C120&lt;&gt;0),M123,M123/F123*D120)/(C130+Q123),"")</f>
        <v>0.87395842636039034</v>
      </c>
      <c r="H130" s="1">
        <f>IF(C130,(M124)/(C130+Q124),"")</f>
        <v>0.23385416666666667</v>
      </c>
      <c r="I130" s="1">
        <f>IF(C130,(M125)/(C130+Q125),"")</f>
        <v>0</v>
      </c>
      <c r="J130" s="1">
        <f>IF(C130,(M126)/(C130+Q126),"")</f>
        <v>0</v>
      </c>
      <c r="K130" s="14">
        <f>IF(AND(C130&lt;&gt;"",N120&lt;&gt;""),9.8*N120*LN((C130+Q122)/(C130+R122)),"")</f>
        <v>2483.4897205325133</v>
      </c>
      <c r="L130" s="1">
        <f>IF(C130,9.8*F123*LN((C130+Q123)/(C130+R123)),"")</f>
        <v>5987.371111228761</v>
      </c>
      <c r="M130" s="1">
        <f>IF(C130,9.8*F124*LN((C130+Q124)/(C130+R124)),"")</f>
        <v>5101.6234607281476</v>
      </c>
      <c r="N130" s="1">
        <f>IF(C130,9.8*F125*LN((C130+Q125)/(C130+R125)),"")</f>
        <v>0</v>
      </c>
      <c r="O130" s="1">
        <f>IF(C130,9.8*F126*LN((C130+Q126)/(C130+R126)),"")</f>
        <v>0</v>
      </c>
      <c r="P130" s="15">
        <f>IF(C130,SUM(K130:O130),"")</f>
        <v>13572.484292489422</v>
      </c>
      <c r="Q130" s="1"/>
      <c r="R130" s="1"/>
      <c r="S130" s="1"/>
      <c r="T130" s="32" t="str">
        <f t="shared" si="39"/>
        <v/>
      </c>
      <c r="U130" s="1"/>
      <c r="V130" s="1"/>
    </row>
    <row r="131" spans="1:22" ht="15" thickBot="1">
      <c r="A131" s="47"/>
      <c r="B131" s="28" t="s">
        <v>5</v>
      </c>
      <c r="C131" s="10"/>
      <c r="D131" s="1" t="str">
        <f>IF(C131,C131+Q122,"")</f>
        <v/>
      </c>
      <c r="E131" s="72" t="str">
        <f t="shared" si="38"/>
        <v/>
      </c>
      <c r="F131" s="14" t="str">
        <f>IF(AND(C131&lt;&gt;"",N120&lt;&gt;""),(M122/F122*E120+M123/F123*D120)/(C131+Q122),"")</f>
        <v/>
      </c>
      <c r="G131" s="1" t="str">
        <f>IF(C131,IF(AND(F122&lt;&gt;0,C120&lt;&gt;0),M123,M123/F123*D120)/(C131+Q123),"")</f>
        <v/>
      </c>
      <c r="H131" s="1" t="str">
        <f>IF(C131,(M124)/(C131+Q124),"")</f>
        <v/>
      </c>
      <c r="I131" s="1" t="str">
        <f>IF(C131,(M125)/(C131+Q125),"")</f>
        <v/>
      </c>
      <c r="J131" s="1" t="str">
        <f>IF(C131,(M126)/(C131+Q126),"")</f>
        <v/>
      </c>
      <c r="K131" s="14" t="str">
        <f>IF(AND(C131&lt;&gt;"",N120&lt;&gt;""),9.8*N120*LN((C131+Q122)/(C131+R122)),"")</f>
        <v/>
      </c>
      <c r="L131" s="1" t="str">
        <f>IF(C131,9.8*F123*LN((C131+Q123)/(C131+R123)),"")</f>
        <v/>
      </c>
      <c r="M131" s="1" t="str">
        <f>IF(C131,9.8*F124*LN((C131+Q124)/(C131+R124)),"")</f>
        <v/>
      </c>
      <c r="N131" s="1" t="str">
        <f>IF(C131,9.8*F125*LN((C131+Q125)/(C131+R125)),"")</f>
        <v/>
      </c>
      <c r="O131" s="1" t="str">
        <f>IF(C131,9.8*F126*LN((C131+Q126)/(C131+R126)),"")</f>
        <v/>
      </c>
      <c r="P131" s="15" t="str">
        <f>IF(C131,SUM(K131:O131),"")</f>
        <v/>
      </c>
      <c r="Q131" s="17"/>
      <c r="R131" s="17"/>
      <c r="S131" s="17"/>
      <c r="T131" s="32" t="str">
        <f t="shared" si="39"/>
        <v/>
      </c>
      <c r="U131" s="1"/>
      <c r="V131" s="1"/>
    </row>
    <row r="132" spans="1:22" ht="15" thickBot="1">
      <c r="A132" s="33" t="s">
        <v>45</v>
      </c>
      <c r="B132" s="26" t="s">
        <v>37</v>
      </c>
      <c r="C132" s="1" t="s">
        <v>54</v>
      </c>
      <c r="D132" s="12" t="s">
        <v>28</v>
      </c>
      <c r="E132" s="12" t="s">
        <v>266</v>
      </c>
      <c r="F132" s="11" t="s">
        <v>40</v>
      </c>
      <c r="G132" s="12" t="s">
        <v>29</v>
      </c>
      <c r="H132" s="12" t="s">
        <v>23</v>
      </c>
      <c r="I132" s="12" t="s">
        <v>24</v>
      </c>
      <c r="J132" s="12" t="s">
        <v>25</v>
      </c>
      <c r="K132" s="11" t="s">
        <v>19</v>
      </c>
      <c r="L132" s="12" t="s">
        <v>26</v>
      </c>
      <c r="M132" s="12" t="s">
        <v>20</v>
      </c>
      <c r="N132" s="12" t="s">
        <v>21</v>
      </c>
      <c r="O132" s="12" t="s">
        <v>22</v>
      </c>
      <c r="P132" s="13" t="s">
        <v>27</v>
      </c>
      <c r="Q132" s="94" t="s">
        <v>42</v>
      </c>
      <c r="R132" s="85"/>
      <c r="S132" s="85"/>
      <c r="T132" s="12" t="s">
        <v>51</v>
      </c>
      <c r="U132" s="37" t="s">
        <v>45</v>
      </c>
      <c r="V132" s="38" t="s">
        <v>48</v>
      </c>
    </row>
    <row r="133" spans="1:22">
      <c r="A133" s="40"/>
      <c r="B133" s="27" t="s">
        <v>30</v>
      </c>
      <c r="C133" s="8"/>
      <c r="D133" s="1" t="str">
        <f>IF(C133,C133+Q122,"")</f>
        <v/>
      </c>
      <c r="E133" s="72" t="str">
        <f>IF(C133,C133/D133,"")</f>
        <v/>
      </c>
      <c r="F133" s="14" t="str">
        <f>IF(AND(C133&lt;&gt;"",N120&lt;&gt;""),(M122/F122*E120+M123/F123*D120)/(C133+U122),"")</f>
        <v/>
      </c>
      <c r="G133" s="1" t="str">
        <f>IF(C133,IF(AND(F122&lt;&gt;0,C120&lt;&gt;0),M123,M123/F123*D120)/(C133+U123),"")</f>
        <v/>
      </c>
      <c r="H133" s="1" t="str">
        <f>IF(C133,(M124)/(C133+U124),"")</f>
        <v/>
      </c>
      <c r="I133" s="1" t="str">
        <f>IF(C133,(M125)/(C133+U125),"")</f>
        <v/>
      </c>
      <c r="J133" s="1" t="str">
        <f>IF(C133,(M126)/(C133+U126),"")</f>
        <v/>
      </c>
      <c r="K133" s="14" t="str">
        <f>IF(AND(C133&lt;&gt;"",N120&lt;&gt;""),9.8*N120*LN((C133+U122)/(C133+V122)),"")</f>
        <v/>
      </c>
      <c r="L133" s="1" t="str">
        <f>IF(C133,9.8*F123*LN((C133+U123)/(C133+V123)),"")</f>
        <v/>
      </c>
      <c r="M133" s="1" t="str">
        <f>IF(C133,9.8*F124*LN((C133+U124)/(C133+V124)),"")</f>
        <v/>
      </c>
      <c r="N133" s="1" t="str">
        <f>IF(C133,9.8*F125*LN((C133+U125)/(C133+V125)),"")</f>
        <v/>
      </c>
      <c r="O133" s="1" t="str">
        <f>IF(C133,9.8*F126*LN((C133+U126)/(C133+V126)),"")</f>
        <v/>
      </c>
      <c r="P133" s="15" t="str">
        <f>IF(C133,SUM(K133:O133),"")</f>
        <v/>
      </c>
      <c r="Q133" s="1"/>
      <c r="R133" s="1"/>
      <c r="S133" s="1"/>
      <c r="T133" s="32" t="str">
        <f>IF(OR(F133&lt;1,AND(F133="",G133&lt;1)),"起飞推重比不得小于0，空天飞机除外","")</f>
        <v/>
      </c>
      <c r="U133" s="1"/>
      <c r="V133" s="1"/>
    </row>
    <row r="134" spans="1:22">
      <c r="A134" s="47"/>
      <c r="B134" s="27" t="s">
        <v>31</v>
      </c>
      <c r="C134" s="9"/>
      <c r="D134" s="1" t="str">
        <f>IF(C134,C134+Q122,"")</f>
        <v/>
      </c>
      <c r="E134" s="72" t="str">
        <f t="shared" ref="E134:E136" si="40">IF(C134,C134/D134,"")</f>
        <v/>
      </c>
      <c r="F134" s="14" t="str">
        <f>IF(AND(C134&lt;&gt;"",N120&lt;&gt;""),(M122/F122*E120+M123/F123*D120)/(C134+U122),"")</f>
        <v/>
      </c>
      <c r="G134" s="1" t="str">
        <f>IF(C134,IF(AND(F122&lt;&gt;0,C120&lt;&gt;0),M123,M123/F123*D120)/(C134+U123),"")</f>
        <v/>
      </c>
      <c r="H134" s="1" t="str">
        <f>IF(C134,(M124)/(C134+U124),"")</f>
        <v/>
      </c>
      <c r="I134" s="1" t="str">
        <f>IF(C134,(M125)/(C134+U125),"")</f>
        <v/>
      </c>
      <c r="J134" s="1" t="str">
        <f>IF(C134,(M126)/(C134+U126),"")</f>
        <v/>
      </c>
      <c r="K134" s="14" t="str">
        <f>IF(AND(C134&lt;&gt;"",N120&lt;&gt;""),9.8*N120*LN((C134+U122)/(C134+V122)),"")</f>
        <v/>
      </c>
      <c r="L134" s="1" t="str">
        <f>IF(C134,9.8*F123*LN((C134+U123)/(C134+V123)),"")</f>
        <v/>
      </c>
      <c r="M134" s="1" t="str">
        <f>IF(C134,9.8*F124*LN((C134+U124)/(C134+V124)),"")</f>
        <v/>
      </c>
      <c r="N134" s="1" t="str">
        <f>IF(C134,9.8*F125*LN((C134+U125)/(C134+V125)),"")</f>
        <v/>
      </c>
      <c r="O134" s="1" t="str">
        <f>IF(C134,9.8*F126*LN((C134+U126)/(C134+V126)),"")</f>
        <v/>
      </c>
      <c r="P134" s="15" t="str">
        <f>IF(C134,SUM(K134:O134),"")</f>
        <v/>
      </c>
      <c r="Q134" s="1"/>
      <c r="R134" s="1"/>
      <c r="S134" s="1"/>
      <c r="T134" s="32" t="str">
        <f t="shared" ref="T134:T136" si="41">IF(OR(F134&lt;1,AND(F134="",G134&lt;1)),"起飞推重比不得小于0，空天飞机除外","")</f>
        <v/>
      </c>
      <c r="U134" s="1"/>
      <c r="V134" s="1"/>
    </row>
    <row r="135" spans="1:22">
      <c r="A135" s="47"/>
      <c r="B135" s="27" t="s">
        <v>32</v>
      </c>
      <c r="C135" s="9"/>
      <c r="D135" s="1" t="str">
        <f>IF(C135,C135+Q122,"")</f>
        <v/>
      </c>
      <c r="E135" s="72" t="str">
        <f t="shared" si="40"/>
        <v/>
      </c>
      <c r="F135" s="14" t="str">
        <f>IF(AND(C135&lt;&gt;"",N120&lt;&gt;""),(M122/F122*E120+M123/F123*D120)/(C135+U122),"")</f>
        <v/>
      </c>
      <c r="G135" s="1" t="str">
        <f>IF(C135,IF(AND(F122&lt;&gt;0,C120&lt;&gt;0),M123,M123/F123*D120)/(C135+U123),"")</f>
        <v/>
      </c>
      <c r="H135" s="1" t="str">
        <f>IF(C135,(M124)/(C135+U124),"")</f>
        <v/>
      </c>
      <c r="I135" s="1" t="str">
        <f>IF(C135,(M125)/(C135+U125),"")</f>
        <v/>
      </c>
      <c r="J135" s="1" t="str">
        <f>IF(C135,(M126)/(C135+U126),"")</f>
        <v/>
      </c>
      <c r="K135" s="14" t="str">
        <f>IF(AND(C135&lt;&gt;"",N120&lt;&gt;""),9.8*N120*LN((C135+U122)/(C135+V122)),"")</f>
        <v/>
      </c>
      <c r="L135" s="1" t="str">
        <f>IF(C135,9.8*F123*LN((C135+U123)/(C135+V123)),"")</f>
        <v/>
      </c>
      <c r="M135" s="1" t="str">
        <f>IF(C135,9.8*F124*LN((C135+U124)/(C135+V124)),"")</f>
        <v/>
      </c>
      <c r="N135" s="1" t="str">
        <f>IF(C135,9.8*F125*LN((C135+U125)/(C135+V125)),"")</f>
        <v/>
      </c>
      <c r="O135" s="1" t="str">
        <f>IF(C135,9.8*F126*LN((C135+U126)/(C135+V126)),"")</f>
        <v/>
      </c>
      <c r="P135" s="15" t="str">
        <f>IF(C135,SUM(K135:O135),"")</f>
        <v/>
      </c>
      <c r="Q135" s="1"/>
      <c r="R135" s="1"/>
      <c r="S135" s="1"/>
      <c r="T135" s="32" t="str">
        <f t="shared" si="41"/>
        <v/>
      </c>
      <c r="U135" s="1"/>
      <c r="V135" s="1"/>
    </row>
    <row r="136" spans="1:22" ht="15" thickBot="1">
      <c r="A136" s="48" t="s">
        <v>45</v>
      </c>
      <c r="B136" s="49" t="s">
        <v>5</v>
      </c>
      <c r="C136" s="50"/>
      <c r="D136" s="25" t="str">
        <f>IF(C136,C136+Q122,"")</f>
        <v/>
      </c>
      <c r="E136" s="73" t="str">
        <f t="shared" si="40"/>
        <v/>
      </c>
      <c r="F136" s="70" t="str">
        <f>IF(AND(C136&lt;&gt;"",N120&lt;&gt;""),(M122/F122*E120+M123/F123*D120)/(C136+U122),"")</f>
        <v/>
      </c>
      <c r="G136" s="25" t="str">
        <f>IF(C136,IF(AND(F122&lt;&gt;0,C120&lt;&gt;0),M123,M123/F123*D120)/(C136+U123),"")</f>
        <v/>
      </c>
      <c r="H136" s="25" t="str">
        <f>IF(C136,(M124)/(C136+U124),"")</f>
        <v/>
      </c>
      <c r="I136" s="25" t="str">
        <f>IF(C136,(M125)/(C136+U125),"")</f>
        <v/>
      </c>
      <c r="J136" s="25" t="str">
        <f>IF(C136,(M126)/(C136+U126),"")</f>
        <v/>
      </c>
      <c r="K136" s="70" t="str">
        <f>IF(AND(C136&lt;&gt;"",N120&lt;&gt;""),9.8*N120*LN((C136+U122)/(C136+V122)),"")</f>
        <v/>
      </c>
      <c r="L136" s="25" t="str">
        <f>IF(C136,9.8*F123*LN((C136+U123)/(C136+V123)),"")</f>
        <v/>
      </c>
      <c r="M136" s="25" t="str">
        <f>IF(C136,9.8*F124*LN((C136+U124)/(C136+V124)),"")</f>
        <v/>
      </c>
      <c r="N136" s="25" t="str">
        <f>IF(C136,9.8*F125*LN((C136+U125)/(C136+V125)),"")</f>
        <v/>
      </c>
      <c r="O136" s="25" t="str">
        <f>IF(C136,9.8*F126*LN((C136+U126)/(C136+V126)),"")</f>
        <v/>
      </c>
      <c r="P136" s="71" t="str">
        <f>IF(C136,SUM(K136:O136),"")</f>
        <v/>
      </c>
      <c r="Q136" s="25"/>
      <c r="R136" s="25"/>
      <c r="S136" s="25"/>
      <c r="T136" s="51" t="str">
        <f t="shared" si="41"/>
        <v/>
      </c>
      <c r="U136" s="25"/>
      <c r="V136" s="25"/>
    </row>
    <row r="137" spans="1:22" ht="15" thickBot="1"/>
    <row r="138" spans="1:22" ht="15" thickBot="1">
      <c r="A138" s="52" t="s">
        <v>127</v>
      </c>
      <c r="B138" s="52"/>
      <c r="C138" s="29" t="s">
        <v>0</v>
      </c>
      <c r="D138" s="90" t="s">
        <v>41</v>
      </c>
      <c r="E138" s="90"/>
      <c r="F138" s="43"/>
      <c r="G138" s="43" t="s">
        <v>160</v>
      </c>
      <c r="H138" s="43"/>
      <c r="I138" s="86" t="s">
        <v>42</v>
      </c>
      <c r="J138" s="86"/>
      <c r="K138" s="86"/>
      <c r="L138" s="54" t="s">
        <v>70</v>
      </c>
      <c r="M138" s="86" t="s">
        <v>71</v>
      </c>
      <c r="N138" s="86"/>
      <c r="O138" s="87"/>
      <c r="P138" s="29" t="s">
        <v>49</v>
      </c>
      <c r="Q138" s="34" t="str">
        <f>IF(OR(P142&lt;P141,T142&lt;T141),"芯级燃烧时间不得小于助推燃烧时间！","")</f>
        <v/>
      </c>
      <c r="R138" s="44"/>
      <c r="S138" s="45"/>
      <c r="T138" s="29"/>
      <c r="U138" s="46" t="s">
        <v>45</v>
      </c>
      <c r="V138" s="46" t="s">
        <v>48</v>
      </c>
    </row>
    <row r="139" spans="1:22" ht="15" thickBot="1">
      <c r="A139" s="40" t="s">
        <v>126</v>
      </c>
      <c r="B139" s="39"/>
      <c r="C139" s="2">
        <v>0</v>
      </c>
      <c r="D139" s="2">
        <v>315</v>
      </c>
      <c r="E139" s="2">
        <v>0</v>
      </c>
      <c r="F139" s="41"/>
      <c r="G139" s="42"/>
      <c r="H139" s="42"/>
      <c r="I139" s="24" t="s">
        <v>313</v>
      </c>
      <c r="J139" s="24"/>
      <c r="K139" s="24"/>
      <c r="L139" s="55">
        <f>IFERROR(IF(AND(F141&lt;&gt;0,C139&lt;&gt;0),M141/F141*E139+M142/F142*D139,M142/F142*D139),0)</f>
        <v>1744.858407079646</v>
      </c>
      <c r="M139" s="53" t="s">
        <v>45</v>
      </c>
      <c r="N139" s="17" t="str">
        <f>IF(AND(F141&lt;&gt;0,C139&lt;&gt;0),(M141+M142)/(M141/F141+M142/F142),"")</f>
        <v/>
      </c>
      <c r="O139" s="56" t="s">
        <v>45</v>
      </c>
      <c r="P139" s="89" t="s">
        <v>17</v>
      </c>
      <c r="Q139" s="89"/>
      <c r="R139" s="91"/>
      <c r="S139" s="88" t="s">
        <v>18</v>
      </c>
      <c r="T139" s="89"/>
      <c r="U139" s="89"/>
      <c r="V139" s="89"/>
    </row>
    <row r="140" spans="1:22" ht="15" thickBot="1">
      <c r="A140" s="33" t="s">
        <v>45</v>
      </c>
      <c r="B140" s="26" t="s">
        <v>39</v>
      </c>
      <c r="C140" s="1" t="s">
        <v>60</v>
      </c>
      <c r="D140" s="1" t="s">
        <v>61</v>
      </c>
      <c r="E140" s="1" t="s">
        <v>62</v>
      </c>
      <c r="F140" s="1" t="s">
        <v>63</v>
      </c>
      <c r="G140" s="1" t="s">
        <v>64</v>
      </c>
      <c r="H140" s="1" t="s">
        <v>65</v>
      </c>
      <c r="I140" s="60" t="s">
        <v>142</v>
      </c>
      <c r="J140" s="24"/>
      <c r="K140" s="24"/>
      <c r="L140" s="11" t="s">
        <v>6</v>
      </c>
      <c r="M140" s="12" t="s">
        <v>69</v>
      </c>
      <c r="N140" s="12" t="s">
        <v>13</v>
      </c>
      <c r="O140" s="13" t="s">
        <v>14</v>
      </c>
      <c r="P140" s="14" t="s">
        <v>12</v>
      </c>
      <c r="Q140" s="1" t="s">
        <v>10</v>
      </c>
      <c r="R140" s="15" t="s">
        <v>11</v>
      </c>
      <c r="S140" s="14" t="s">
        <v>13</v>
      </c>
      <c r="T140" s="1" t="s">
        <v>12</v>
      </c>
      <c r="U140" s="1" t="s">
        <v>10</v>
      </c>
      <c r="V140" s="1" t="s">
        <v>11</v>
      </c>
    </row>
    <row r="141" spans="1:22">
      <c r="A141" s="40"/>
      <c r="B141" s="27" t="s">
        <v>3</v>
      </c>
      <c r="C141" s="3"/>
      <c r="D141" s="4"/>
      <c r="E141" s="4"/>
      <c r="F141" s="4"/>
      <c r="G141" s="19"/>
      <c r="H141" s="20"/>
      <c r="I141" s="24"/>
      <c r="J141" s="24"/>
      <c r="K141" s="24"/>
      <c r="L141" s="14">
        <f>C141*C139</f>
        <v>0</v>
      </c>
      <c r="M141" s="1">
        <f>E141*C139</f>
        <v>0</v>
      </c>
      <c r="N141" s="1">
        <f>IF(D141,L141/D141,0)</f>
        <v>0</v>
      </c>
      <c r="O141" s="15">
        <f>L141-N141</f>
        <v>0</v>
      </c>
      <c r="P141" s="14">
        <f>IF(AND(F141&lt;&gt;0,C139&lt;&gt;0),O141/M141*F141/IF(G141,G141,1),0)</f>
        <v>0</v>
      </c>
      <c r="Q141" s="1">
        <f>SUM(L141:L145)</f>
        <v>1250</v>
      </c>
      <c r="R141" s="15">
        <f>N141+Q142</f>
        <v>1250</v>
      </c>
      <c r="S141" s="14">
        <f>N141+H141*O141</f>
        <v>0</v>
      </c>
      <c r="T141" s="1">
        <f>IF(AND(F141&lt;&gt;0,C139&lt;&gt;0),(1-H141)*O141/M141*F141/IF(G141,G141,1),0)</f>
        <v>0</v>
      </c>
      <c r="U141" s="1">
        <f>SUM(L141:L145)</f>
        <v>1250</v>
      </c>
      <c r="V141" s="1">
        <f>S141+U142</f>
        <v>1250</v>
      </c>
    </row>
    <row r="142" spans="1:22">
      <c r="A142" s="47"/>
      <c r="B142" s="27">
        <v>1</v>
      </c>
      <c r="C142" s="5">
        <v>1150</v>
      </c>
      <c r="D142" s="1">
        <v>14</v>
      </c>
      <c r="E142" s="1">
        <v>1877.8</v>
      </c>
      <c r="F142" s="1">
        <v>339</v>
      </c>
      <c r="G142" s="5">
        <v>1</v>
      </c>
      <c r="H142" s="21">
        <v>0.1101</v>
      </c>
      <c r="I142" s="30" t="s">
        <v>128</v>
      </c>
      <c r="J142" s="30"/>
      <c r="K142" s="30"/>
      <c r="L142" s="14">
        <f>C142</f>
        <v>1150</v>
      </c>
      <c r="M142" s="1">
        <f>E142</f>
        <v>1877.8</v>
      </c>
      <c r="N142" s="1">
        <f>IF(D142,L142/D142,0)</f>
        <v>82.142857142857139</v>
      </c>
      <c r="O142" s="15">
        <f>L142-N142</f>
        <v>1067.8571428571429</v>
      </c>
      <c r="P142" s="14">
        <f t="shared" ref="P142:P145" si="42">IF(F142,O142/M142*F142/IF(G142,G142,1),0)</f>
        <v>192.78068560473505</v>
      </c>
      <c r="Q142" s="1">
        <f>IF(F142,SUM(L142:L145)-P141*M142/F142*IF(G142,G142,1),0)</f>
        <v>1250</v>
      </c>
      <c r="R142" s="15">
        <f>N142+Q143</f>
        <v>182.14285714285714</v>
      </c>
      <c r="S142" s="14">
        <f>N142+H142*O142</f>
        <v>199.71392857142857</v>
      </c>
      <c r="T142" s="1">
        <f>IF(F142,(1-H142)*O142/M142*F142/IF(G142,G142,1),0)</f>
        <v>171.55553211965372</v>
      </c>
      <c r="U142" s="1">
        <f>IF(F142,SUM(L142:L145)-T141*M142/F142*IF(G142,G142,1),0)</f>
        <v>1250</v>
      </c>
      <c r="V142" s="1">
        <f>S142+U143</f>
        <v>299.7139285714286</v>
      </c>
    </row>
    <row r="143" spans="1:22">
      <c r="A143" s="47"/>
      <c r="B143" s="27">
        <v>2</v>
      </c>
      <c r="C143" s="5">
        <v>100</v>
      </c>
      <c r="D143" s="1">
        <v>7</v>
      </c>
      <c r="E143" s="1">
        <v>112.2</v>
      </c>
      <c r="F143" s="1">
        <v>435</v>
      </c>
      <c r="G143" s="5"/>
      <c r="H143" s="21"/>
      <c r="I143" s="30" t="s">
        <v>129</v>
      </c>
      <c r="J143" s="30"/>
      <c r="K143" s="30"/>
      <c r="L143" s="14">
        <f>C143</f>
        <v>100</v>
      </c>
      <c r="M143" s="1">
        <f>E143</f>
        <v>112.2</v>
      </c>
      <c r="N143" s="1">
        <f>IF(D143,L143/D143,0)</f>
        <v>14.285714285714286</v>
      </c>
      <c r="O143" s="15">
        <f>L143-N143</f>
        <v>85.714285714285708</v>
      </c>
      <c r="P143" s="14">
        <f t="shared" si="42"/>
        <v>332.31474407944995</v>
      </c>
      <c r="Q143" s="1">
        <f>SUM(L143:L145)</f>
        <v>100</v>
      </c>
      <c r="R143" s="15">
        <f>N143+Q144</f>
        <v>14.285714285714286</v>
      </c>
      <c r="S143" s="14">
        <f>N143+H143*O143</f>
        <v>14.285714285714286</v>
      </c>
      <c r="T143" s="1">
        <f t="shared" ref="T143:T145" si="43">IF(F143,(1-H143)*O143/M143*F143/IF(G143,G143,1),0)</f>
        <v>332.31474407944995</v>
      </c>
      <c r="U143" s="1">
        <f>SUM(L143:L145)</f>
        <v>100</v>
      </c>
      <c r="V143" s="1">
        <f>S143+U144</f>
        <v>14.285714285714286</v>
      </c>
    </row>
    <row r="144" spans="1:22">
      <c r="A144" s="33" t="s">
        <v>45</v>
      </c>
      <c r="B144" s="27">
        <v>3</v>
      </c>
      <c r="C144" s="5"/>
      <c r="D144" s="1"/>
      <c r="E144" s="1"/>
      <c r="F144" s="1"/>
      <c r="G144" s="5"/>
      <c r="H144" s="21"/>
      <c r="I144" s="30"/>
      <c r="J144" s="30"/>
      <c r="K144" s="30"/>
      <c r="L144" s="14">
        <f>C144</f>
        <v>0</v>
      </c>
      <c r="M144" s="1">
        <f>E144</f>
        <v>0</v>
      </c>
      <c r="N144" s="1">
        <f>IF(D144,L144/D144,0)</f>
        <v>0</v>
      </c>
      <c r="O144" s="15">
        <f>L144-N144</f>
        <v>0</v>
      </c>
      <c r="P144" s="14">
        <f t="shared" si="42"/>
        <v>0</v>
      </c>
      <c r="Q144" s="1">
        <f>SUM(L144:L145)</f>
        <v>0</v>
      </c>
      <c r="R144" s="15">
        <f>N144+Q145</f>
        <v>0</v>
      </c>
      <c r="S144" s="14">
        <f>N144+H144*O144</f>
        <v>0</v>
      </c>
      <c r="T144" s="1">
        <f t="shared" si="43"/>
        <v>0</v>
      </c>
      <c r="U144" s="1">
        <f>SUM(L144:L145)</f>
        <v>0</v>
      </c>
      <c r="V144" s="1">
        <f>S144+U145</f>
        <v>0</v>
      </c>
    </row>
    <row r="145" spans="1:22" ht="15" thickBot="1">
      <c r="A145" s="40"/>
      <c r="B145" s="28">
        <v>4</v>
      </c>
      <c r="C145" s="6"/>
      <c r="D145" s="7"/>
      <c r="E145" s="7"/>
      <c r="F145" s="7"/>
      <c r="G145" s="22"/>
      <c r="H145" s="23"/>
      <c r="I145" s="24"/>
      <c r="J145" s="24"/>
      <c r="K145" s="24"/>
      <c r="L145" s="16">
        <f>C145</f>
        <v>0</v>
      </c>
      <c r="M145" s="17">
        <f>E145</f>
        <v>0</v>
      </c>
      <c r="N145" s="17">
        <f>IF(D145,L145/D145,0)</f>
        <v>0</v>
      </c>
      <c r="O145" s="18">
        <f>L145-N145</f>
        <v>0</v>
      </c>
      <c r="P145" s="14">
        <f t="shared" si="42"/>
        <v>0</v>
      </c>
      <c r="Q145" s="17">
        <f>SUM(L145:L145)</f>
        <v>0</v>
      </c>
      <c r="R145" s="18">
        <f>N145</f>
        <v>0</v>
      </c>
      <c r="S145" s="16">
        <f>N145+H145*O145</f>
        <v>0</v>
      </c>
      <c r="T145" s="17">
        <f t="shared" si="43"/>
        <v>0</v>
      </c>
      <c r="U145" s="17">
        <f>SUM(L145:L145)</f>
        <v>0</v>
      </c>
      <c r="V145" s="17">
        <f>S145</f>
        <v>0</v>
      </c>
    </row>
    <row r="146" spans="1:22" ht="15" thickBot="1">
      <c r="A146" s="47"/>
      <c r="B146" s="26" t="s">
        <v>38</v>
      </c>
      <c r="C146" s="1" t="s">
        <v>4</v>
      </c>
      <c r="D146" s="1" t="s">
        <v>28</v>
      </c>
      <c r="E146" s="1" t="s">
        <v>265</v>
      </c>
      <c r="F146" s="69" t="s">
        <v>40</v>
      </c>
      <c r="G146" s="1" t="s">
        <v>29</v>
      </c>
      <c r="H146" s="1" t="s">
        <v>23</v>
      </c>
      <c r="I146" s="12" t="s">
        <v>24</v>
      </c>
      <c r="J146" s="12" t="s">
        <v>25</v>
      </c>
      <c r="K146" s="11" t="s">
        <v>19</v>
      </c>
      <c r="L146" s="12" t="s">
        <v>26</v>
      </c>
      <c r="M146" s="12" t="s">
        <v>20</v>
      </c>
      <c r="N146" s="12" t="s">
        <v>21</v>
      </c>
      <c r="O146" s="12" t="s">
        <v>22</v>
      </c>
      <c r="P146" s="13" t="s">
        <v>27</v>
      </c>
      <c r="Q146" s="85" t="s">
        <v>42</v>
      </c>
      <c r="R146" s="85"/>
      <c r="S146" s="85"/>
      <c r="T146" s="31" t="s">
        <v>50</v>
      </c>
      <c r="U146" s="35" t="s">
        <v>47</v>
      </c>
      <c r="V146" s="36" t="s">
        <v>264</v>
      </c>
    </row>
    <row r="147" spans="1:22">
      <c r="A147" s="47"/>
      <c r="B147" s="27" t="s">
        <v>30</v>
      </c>
      <c r="C147" s="8">
        <v>45</v>
      </c>
      <c r="D147" s="1">
        <f>IF(C147,C147+Q141,"")</f>
        <v>1295</v>
      </c>
      <c r="E147" s="72">
        <f>IF(C147,C147/D147,"")</f>
        <v>3.4749034749034749E-2</v>
      </c>
      <c r="F147" s="14" t="str">
        <f>IF(AND(C147&lt;&gt;"",N139&lt;&gt;""),(M141/F141*E139+M142/F142*D139)/(C147+Q141),"")</f>
        <v/>
      </c>
      <c r="G147" s="1">
        <f>IF(C147,IF(AND(F141&lt;&gt;0,C139&lt;&gt;0),M142,M142/F142*D139)/(C147+Q142),"")</f>
        <v>1.3473810093279119</v>
      </c>
      <c r="H147" s="1">
        <f>IF(C147,(M143)/(C147+Q143),"")</f>
        <v>0.7737931034482759</v>
      </c>
      <c r="I147" s="1">
        <f>IF(C147,(M144)/(C147+Q144),"")</f>
        <v>0</v>
      </c>
      <c r="J147" s="1">
        <f>IF(C147,(M145)/(C147+Q145),"")</f>
        <v>0</v>
      </c>
      <c r="K147" s="14" t="str">
        <f>IF(AND(C147&lt;&gt;"",N139&lt;&gt;""),9.8*N139*LN((C147+Q141)/(C147+R141)),"")</f>
        <v/>
      </c>
      <c r="L147" s="1">
        <f>IF(C147,9.8*F142*LN((C147+Q142)/(C147+R142)),"")</f>
        <v>5782.9097798974626</v>
      </c>
      <c r="M147" s="1">
        <f>IF(C147,9.8*F143*LN((C147+Q143)/(C147+R143)),"")</f>
        <v>3812.6795776182425</v>
      </c>
      <c r="N147" s="1">
        <f>IF(C147,9.8*F144*LN((C147+Q144)/(C147+R144)),"")</f>
        <v>0</v>
      </c>
      <c r="O147" s="1">
        <f>IF(C147,9.8*F145*LN((C147+Q145)/(C147+R145)),"")</f>
        <v>0</v>
      </c>
      <c r="P147" s="15">
        <f>IF(C147,SUM(K147:O147),"")</f>
        <v>9595.5893575157061</v>
      </c>
      <c r="Q147" s="1"/>
      <c r="R147" s="1"/>
      <c r="S147" s="1"/>
      <c r="T147" s="32" t="str">
        <f>IF(OR(F147&lt;1,AND(F147="",G147&lt;1)),"起飞推重比不得小于0，空天飞机除外","")</f>
        <v/>
      </c>
      <c r="U147" s="1"/>
      <c r="V147" s="1"/>
    </row>
    <row r="148" spans="1:22">
      <c r="A148" s="33" t="s">
        <v>45</v>
      </c>
      <c r="B148" s="27" t="s">
        <v>31</v>
      </c>
      <c r="C148" s="9">
        <v>13.6</v>
      </c>
      <c r="D148" s="1">
        <f>IF(C148,C148+Q141,"")</f>
        <v>1263.5999999999999</v>
      </c>
      <c r="E148" s="72">
        <f t="shared" ref="E148:E150" si="44">IF(C148,C148/D148,"")</f>
        <v>1.0762899651788541E-2</v>
      </c>
      <c r="F148" s="14" t="str">
        <f>IF(AND(C148&lt;&gt;"",N139&lt;&gt;""),(M141/F141*E139+M142/F142*D139)/(C148+Q141),"")</f>
        <v/>
      </c>
      <c r="G148" s="1">
        <f>IF(C148,IF(AND(F141&lt;&gt;0,C139&lt;&gt;0),M142,M142/F142*D139)/(C148+Q142),"")</f>
        <v>1.3808629369101346</v>
      </c>
      <c r="H148" s="1">
        <f>IF(C148,(M143)/(C148+Q143),"")</f>
        <v>0.98767605633802824</v>
      </c>
      <c r="I148" s="1">
        <f>IF(C148,(M144)/(C148+Q144),"")</f>
        <v>0</v>
      </c>
      <c r="J148" s="1">
        <f>IF(C148,(M145)/(C148+Q145),"")</f>
        <v>0</v>
      </c>
      <c r="K148" s="14" t="str">
        <f>IF(AND(C148&lt;&gt;"",N139&lt;&gt;""),9.8*N139*LN((C148+Q141)/(C148+R141)),"")</f>
        <v/>
      </c>
      <c r="L148" s="1">
        <f>IF(C148,9.8*F142*LN((C148+Q142)/(C148+R142)),"")</f>
        <v>6195.6313251496686</v>
      </c>
      <c r="M148" s="1">
        <f>IF(C148,9.8*F143*LN((C148+Q143)/(C148+R143)),"")</f>
        <v>5987.6775675520557</v>
      </c>
      <c r="N148" s="1">
        <f>IF(C148,9.8*F144*LN((C148+Q144)/(C148+R144)),"")</f>
        <v>0</v>
      </c>
      <c r="O148" s="1">
        <f>IF(C148,9.8*F145*LN((C148+Q145)/(C148+R145)),"")</f>
        <v>0</v>
      </c>
      <c r="P148" s="15">
        <f>IF(C148,SUM(K148:O148),"")</f>
        <v>12183.308892701723</v>
      </c>
      <c r="Q148" s="1"/>
      <c r="R148" s="1"/>
      <c r="S148" s="1"/>
      <c r="T148" s="32" t="str">
        <f t="shared" ref="T148:T150" si="45">IF(OR(F148&lt;1,AND(F148="",G148&lt;1)),"起飞推重比不得小于0，空天飞机除外","")</f>
        <v/>
      </c>
      <c r="U148" s="1"/>
      <c r="V148" s="1"/>
    </row>
    <row r="149" spans="1:22">
      <c r="A149" s="40"/>
      <c r="B149" s="27" t="s">
        <v>32</v>
      </c>
      <c r="C149" s="9"/>
      <c r="D149" s="1" t="str">
        <f>IF(C149,C149+Q141,"")</f>
        <v/>
      </c>
      <c r="E149" s="72" t="str">
        <f t="shared" si="44"/>
        <v/>
      </c>
      <c r="F149" s="14" t="str">
        <f>IF(AND(C149&lt;&gt;"",N139&lt;&gt;""),(M141/F141*E139+M142/F142*D139)/(C149+Q141),"")</f>
        <v/>
      </c>
      <c r="G149" s="1" t="str">
        <f>IF(C149,IF(AND(F141&lt;&gt;0,C139&lt;&gt;0),M142,M142/F142*D139)/(C149+Q142),"")</f>
        <v/>
      </c>
      <c r="H149" s="1" t="str">
        <f>IF(C149,(M143)/(C149+Q143),"")</f>
        <v/>
      </c>
      <c r="I149" s="1" t="str">
        <f>IF(C149,(M144)/(C149+Q144),"")</f>
        <v/>
      </c>
      <c r="J149" s="1" t="str">
        <f>IF(C149,(M145)/(C149+Q145),"")</f>
        <v/>
      </c>
      <c r="K149" s="14" t="str">
        <f>IF(AND(C149&lt;&gt;"",N139&lt;&gt;""),9.8*N139*LN((C149+Q141)/(C149+R141)),"")</f>
        <v/>
      </c>
      <c r="L149" s="1" t="str">
        <f>IF(C149,9.8*F142*LN((C149+Q142)/(C149+R142)),"")</f>
        <v/>
      </c>
      <c r="M149" s="1" t="str">
        <f>IF(C149,9.8*F143*LN((C149+Q143)/(C149+R143)),"")</f>
        <v/>
      </c>
      <c r="N149" s="1" t="str">
        <f>IF(C149,9.8*F144*LN((C149+Q144)/(C149+R144)),"")</f>
        <v/>
      </c>
      <c r="O149" s="1" t="str">
        <f>IF(C149,9.8*F145*LN((C149+Q145)/(C149+R145)),"")</f>
        <v/>
      </c>
      <c r="P149" s="15" t="str">
        <f>IF(C149,SUM(K149:O149),"")</f>
        <v/>
      </c>
      <c r="Q149" s="1"/>
      <c r="R149" s="1"/>
      <c r="S149" s="1"/>
      <c r="T149" s="32" t="str">
        <f t="shared" si="45"/>
        <v/>
      </c>
      <c r="U149" s="1"/>
      <c r="V149" s="1"/>
    </row>
    <row r="150" spans="1:22" ht="15" thickBot="1">
      <c r="A150" s="47"/>
      <c r="B150" s="28" t="s">
        <v>5</v>
      </c>
      <c r="C150" s="10"/>
      <c r="D150" s="1" t="str">
        <f>IF(C150,C150+Q141,"")</f>
        <v/>
      </c>
      <c r="E150" s="72" t="str">
        <f t="shared" si="44"/>
        <v/>
      </c>
      <c r="F150" s="14" t="str">
        <f>IF(AND(C150&lt;&gt;"",N139&lt;&gt;""),(M141/F141*E139+M142/F142*D139)/(C150+Q141),"")</f>
        <v/>
      </c>
      <c r="G150" s="1" t="str">
        <f>IF(C150,IF(AND(F141&lt;&gt;0,C139&lt;&gt;0),M142,M142/F142*D139)/(C150+Q142),"")</f>
        <v/>
      </c>
      <c r="H150" s="1" t="str">
        <f>IF(C150,(M143)/(C150+Q143),"")</f>
        <v/>
      </c>
      <c r="I150" s="1" t="str">
        <f>IF(C150,(M144)/(C150+Q144),"")</f>
        <v/>
      </c>
      <c r="J150" s="1" t="str">
        <f>IF(C150,(M145)/(C150+Q145),"")</f>
        <v/>
      </c>
      <c r="K150" s="14" t="str">
        <f>IF(AND(C150&lt;&gt;"",N139&lt;&gt;""),9.8*N139*LN((C150+Q141)/(C150+R141)),"")</f>
        <v/>
      </c>
      <c r="L150" s="1" t="str">
        <f>IF(C150,9.8*F142*LN((C150+Q142)/(C150+R142)),"")</f>
        <v/>
      </c>
      <c r="M150" s="1" t="str">
        <f>IF(C150,9.8*F143*LN((C150+Q143)/(C150+R143)),"")</f>
        <v/>
      </c>
      <c r="N150" s="1" t="str">
        <f>IF(C150,9.8*F144*LN((C150+Q144)/(C150+R144)),"")</f>
        <v/>
      </c>
      <c r="O150" s="1" t="str">
        <f>IF(C150,9.8*F145*LN((C150+Q145)/(C150+R145)),"")</f>
        <v/>
      </c>
      <c r="P150" s="15" t="str">
        <f>IF(C150,SUM(K150:O150),"")</f>
        <v/>
      </c>
      <c r="Q150" s="17"/>
      <c r="R150" s="17"/>
      <c r="S150" s="17"/>
      <c r="T150" s="32" t="str">
        <f t="shared" si="45"/>
        <v/>
      </c>
      <c r="U150" s="1"/>
      <c r="V150" s="1"/>
    </row>
    <row r="151" spans="1:22" ht="15" thickBot="1">
      <c r="A151" s="33" t="s">
        <v>45</v>
      </c>
      <c r="B151" s="26" t="s">
        <v>37</v>
      </c>
      <c r="C151" s="1" t="s">
        <v>54</v>
      </c>
      <c r="D151" s="12" t="s">
        <v>28</v>
      </c>
      <c r="E151" s="12" t="s">
        <v>266</v>
      </c>
      <c r="F151" s="11" t="s">
        <v>40</v>
      </c>
      <c r="G151" s="12" t="s">
        <v>29</v>
      </c>
      <c r="H151" s="12" t="s">
        <v>23</v>
      </c>
      <c r="I151" s="12" t="s">
        <v>24</v>
      </c>
      <c r="J151" s="12" t="s">
        <v>25</v>
      </c>
      <c r="K151" s="11" t="s">
        <v>19</v>
      </c>
      <c r="L151" s="12" t="s">
        <v>26</v>
      </c>
      <c r="M151" s="12" t="s">
        <v>20</v>
      </c>
      <c r="N151" s="12" t="s">
        <v>21</v>
      </c>
      <c r="O151" s="12" t="s">
        <v>22</v>
      </c>
      <c r="P151" s="13" t="s">
        <v>27</v>
      </c>
      <c r="Q151" s="85" t="s">
        <v>42</v>
      </c>
      <c r="R151" s="85"/>
      <c r="S151" s="85"/>
      <c r="T151" s="12" t="s">
        <v>51</v>
      </c>
      <c r="U151" s="37" t="s">
        <v>45</v>
      </c>
      <c r="V151" s="38" t="s">
        <v>48</v>
      </c>
    </row>
    <row r="152" spans="1:22">
      <c r="A152" s="40"/>
      <c r="B152" s="27" t="s">
        <v>30</v>
      </c>
      <c r="C152" s="8">
        <v>24</v>
      </c>
      <c r="D152" s="1">
        <f>IF(C152,C152+Q141,"")</f>
        <v>1274</v>
      </c>
      <c r="E152" s="72">
        <f>IF(C152,C152/D152,"")</f>
        <v>1.8838304552590265E-2</v>
      </c>
      <c r="F152" s="14" t="str">
        <f>IF(AND(C152&lt;&gt;"",N139&lt;&gt;""),(M141/F141*E139+M142/F142*D139)/(C152+U141),"")</f>
        <v/>
      </c>
      <c r="G152" s="1">
        <f>IF(C152,IF(AND(F141&lt;&gt;0,C139&lt;&gt;0),M142,M142/F142*D139)/(C152+U142),"")</f>
        <v>1.3695905864047457</v>
      </c>
      <c r="H152" s="1">
        <f>IF(C152,(M143)/(C152+U143),"")</f>
        <v>0.90483870967741942</v>
      </c>
      <c r="I152" s="1">
        <f>IF(C152,(M144)/(C152+U144),"")</f>
        <v>0</v>
      </c>
      <c r="J152" s="1">
        <f>IF(C152,(M145)/(C152+U145),"")</f>
        <v>0</v>
      </c>
      <c r="K152" s="14" t="str">
        <f>IF(AND(C152&lt;&gt;"",N139&lt;&gt;""),9.8*N139*LN((C152+U141)/(C152+V141)),"")</f>
        <v/>
      </c>
      <c r="L152" s="1">
        <f>IF(C152,9.8*F142*LN((C152+U142)/(C152+V142)),"")</f>
        <v>4551.6021922173795</v>
      </c>
      <c r="M152" s="1">
        <f>IF(C152,9.8*F143*LN((C152+U143)/(C152+V143)),"")</f>
        <v>5009.8977816792913</v>
      </c>
      <c r="N152" s="1">
        <f>IF(C152,9.8*F144*LN((C152+U144)/(C152+V144)),"")</f>
        <v>0</v>
      </c>
      <c r="O152" s="1">
        <f>IF(C152,9.8*F145*LN((C152+U145)/(C152+V145)),"")</f>
        <v>0</v>
      </c>
      <c r="P152" s="15">
        <f>IF(C152,SUM(K152:O152),"")</f>
        <v>9561.4999738966708</v>
      </c>
      <c r="Q152" s="1"/>
      <c r="R152" s="1"/>
      <c r="S152" s="1"/>
      <c r="T152" s="32" t="str">
        <f>IF(OR(F152&lt;1,AND(F152="",G152&lt;1)),"起飞推重比不得小于0，空天飞机除外","")</f>
        <v/>
      </c>
      <c r="U152" s="1"/>
      <c r="V152" s="1"/>
    </row>
    <row r="153" spans="1:22">
      <c r="A153" s="47"/>
      <c r="B153" s="27" t="s">
        <v>31</v>
      </c>
      <c r="C153" s="9">
        <v>3.7</v>
      </c>
      <c r="D153" s="1">
        <f>IF(C153,C153+Q141,"")</f>
        <v>1253.7</v>
      </c>
      <c r="E153" s="72">
        <f t="shared" ref="E153:E155" si="46">IF(C153,C153/D153,"")</f>
        <v>2.9512642577969213E-3</v>
      </c>
      <c r="F153" s="14" t="str">
        <f>IF(AND(C153&lt;&gt;"",N139&lt;&gt;""),(M141/F141*E139+M142/F142*D139)/(C153+U141),"")</f>
        <v/>
      </c>
      <c r="G153" s="1">
        <f>IF(C153,IF(AND(F141&lt;&gt;0,C139&lt;&gt;0),M142,M142/F142*D139)/(C153+U142),"")</f>
        <v>1.3917670950623322</v>
      </c>
      <c r="H153" s="1">
        <f>IF(C153,(M143)/(C153+U143),"")</f>
        <v>1.0819672131147542</v>
      </c>
      <c r="I153" s="1">
        <f>IF(C153,(M144)/(C153+U144),"")</f>
        <v>0</v>
      </c>
      <c r="J153" s="1">
        <f>IF(C153,(M145)/(C153+U145),"")</f>
        <v>0</v>
      </c>
      <c r="K153" s="14" t="str">
        <f>IF(AND(C153&lt;&gt;"",N139&lt;&gt;""),9.8*N139*LN((C153+U141)/(C153+V141)),"")</f>
        <v/>
      </c>
      <c r="L153" s="1">
        <f>IF(C153,9.8*F142*LN((C153+U142)/(C153+V142)),"")</f>
        <v>4713.3927910905977</v>
      </c>
      <c r="M153" s="1">
        <f>IF(C153,9.8*F143*LN((C153+U143)/(C153+V143)),"")</f>
        <v>7468.4533899742237</v>
      </c>
      <c r="N153" s="1">
        <f>IF(C153,9.8*F144*LN((C153+U144)/(C153+V144)),"")</f>
        <v>0</v>
      </c>
      <c r="O153" s="1">
        <f>IF(C153,9.8*F145*LN((C153+U145)/(C153+V145)),"")</f>
        <v>0</v>
      </c>
      <c r="P153" s="15">
        <f>IF(C153,SUM(K153:O153),"")</f>
        <v>12181.846181064822</v>
      </c>
      <c r="Q153" s="1"/>
      <c r="R153" s="1"/>
      <c r="S153" s="1"/>
      <c r="T153" s="32" t="str">
        <f t="shared" ref="T153:T155" si="47">IF(OR(F153&lt;1,AND(F153="",G153&lt;1)),"起飞推重比不得小于0，空天飞机除外","")</f>
        <v/>
      </c>
      <c r="U153" s="1"/>
      <c r="V153" s="1"/>
    </row>
    <row r="154" spans="1:22">
      <c r="A154" s="47"/>
      <c r="B154" s="27" t="s">
        <v>32</v>
      </c>
      <c r="C154" s="9"/>
      <c r="D154" s="1" t="str">
        <f>IF(C154,C154+Q141,"")</f>
        <v/>
      </c>
      <c r="E154" s="72" t="str">
        <f t="shared" si="46"/>
        <v/>
      </c>
      <c r="F154" s="14" t="str">
        <f>IF(AND(C154&lt;&gt;"",N139&lt;&gt;""),(M141/F141*E139+M142/F142*D139)/(C154+U141),"")</f>
        <v/>
      </c>
      <c r="G154" s="1" t="str">
        <f>IF(C154,IF(AND(F141&lt;&gt;0,C139&lt;&gt;0),M142,M142/F142*D139)/(C154+U142),"")</f>
        <v/>
      </c>
      <c r="H154" s="1" t="str">
        <f>IF(C154,(M143)/(C154+U143),"")</f>
        <v/>
      </c>
      <c r="I154" s="1" t="str">
        <f>IF(C154,(M144)/(C154+U144),"")</f>
        <v/>
      </c>
      <c r="J154" s="1" t="str">
        <f>IF(C154,(M145)/(C154+U145),"")</f>
        <v/>
      </c>
      <c r="K154" s="14" t="str">
        <f>IF(AND(C154&lt;&gt;"",N139&lt;&gt;""),9.8*N139*LN((C154+U141)/(C154+V141)),"")</f>
        <v/>
      </c>
      <c r="L154" s="1" t="str">
        <f>IF(C154,9.8*F142*LN((C154+U142)/(C154+V142)),"")</f>
        <v/>
      </c>
      <c r="M154" s="1" t="str">
        <f>IF(C154,9.8*F143*LN((C154+U143)/(C154+V143)),"")</f>
        <v/>
      </c>
      <c r="N154" s="1" t="str">
        <f>IF(C154,9.8*F144*LN((C154+U144)/(C154+V144)),"")</f>
        <v/>
      </c>
      <c r="O154" s="1" t="str">
        <f>IF(C154,9.8*F145*LN((C154+U145)/(C154+V145)),"")</f>
        <v/>
      </c>
      <c r="P154" s="15" t="str">
        <f>IF(C154,SUM(K154:O154),"")</f>
        <v/>
      </c>
      <c r="Q154" s="1"/>
      <c r="R154" s="1"/>
      <c r="S154" s="1"/>
      <c r="T154" s="32" t="str">
        <f t="shared" si="47"/>
        <v/>
      </c>
      <c r="U154" s="1"/>
      <c r="V154" s="1"/>
    </row>
    <row r="155" spans="1:22" ht="15" thickBot="1">
      <c r="A155" s="48" t="s">
        <v>45</v>
      </c>
      <c r="B155" s="49" t="s">
        <v>5</v>
      </c>
      <c r="C155" s="50"/>
      <c r="D155" s="25" t="str">
        <f>IF(C155,C155+Q141,"")</f>
        <v/>
      </c>
      <c r="E155" s="73" t="str">
        <f t="shared" si="46"/>
        <v/>
      </c>
      <c r="F155" s="70" t="str">
        <f>IF(AND(C155&lt;&gt;"",N139&lt;&gt;""),(M141/F141*E139+M142/F142*D139)/(C155+U141),"")</f>
        <v/>
      </c>
      <c r="G155" s="25" t="str">
        <f>IF(C155,IF(AND(F141&lt;&gt;0,C139&lt;&gt;0),M142,M142/F142*D139)/(C155+U142),"")</f>
        <v/>
      </c>
      <c r="H155" s="25" t="str">
        <f>IF(C155,(M143)/(C155+U143),"")</f>
        <v/>
      </c>
      <c r="I155" s="25" t="str">
        <f>IF(C155,(M144)/(C155+U144),"")</f>
        <v/>
      </c>
      <c r="J155" s="25" t="str">
        <f>IF(C155,(M145)/(C155+U145),"")</f>
        <v/>
      </c>
      <c r="K155" s="70" t="str">
        <f>IF(AND(C155&lt;&gt;"",N139&lt;&gt;""),9.8*N139*LN((C155+U141)/(C155+V141)),"")</f>
        <v/>
      </c>
      <c r="L155" s="25" t="str">
        <f>IF(C155,9.8*F142*LN((C155+U142)/(C155+V142)),"")</f>
        <v/>
      </c>
      <c r="M155" s="25" t="str">
        <f>IF(C155,9.8*F143*LN((C155+U143)/(C155+V143)),"")</f>
        <v/>
      </c>
      <c r="N155" s="25" t="str">
        <f>IF(C155,9.8*F144*LN((C155+U144)/(C155+V144)),"")</f>
        <v/>
      </c>
      <c r="O155" s="25" t="str">
        <f>IF(C155,9.8*F145*LN((C155+U145)/(C155+V145)),"")</f>
        <v/>
      </c>
      <c r="P155" s="71" t="str">
        <f>IF(C155,SUM(K155:O155),"")</f>
        <v/>
      </c>
      <c r="Q155" s="25"/>
      <c r="R155" s="25"/>
      <c r="S155" s="25"/>
      <c r="T155" s="51" t="str">
        <f t="shared" si="47"/>
        <v/>
      </c>
      <c r="U155" s="25"/>
      <c r="V155" s="25"/>
    </row>
  </sheetData>
  <mergeCells count="67">
    <mergeCell ref="S25:V25"/>
    <mergeCell ref="D5:E5"/>
    <mergeCell ref="I5:K5"/>
    <mergeCell ref="M5:O5"/>
    <mergeCell ref="P6:R6"/>
    <mergeCell ref="S6:V6"/>
    <mergeCell ref="D24:E24"/>
    <mergeCell ref="I24:K24"/>
    <mergeCell ref="M24:O24"/>
    <mergeCell ref="P25:R25"/>
    <mergeCell ref="Q13:S13"/>
    <mergeCell ref="Q18:S18"/>
    <mergeCell ref="D43:E43"/>
    <mergeCell ref="I43:K43"/>
    <mergeCell ref="M43:O43"/>
    <mergeCell ref="P44:R44"/>
    <mergeCell ref="Q32:S32"/>
    <mergeCell ref="Q37:S37"/>
    <mergeCell ref="S44:V44"/>
    <mergeCell ref="D100:E100"/>
    <mergeCell ref="I100:K100"/>
    <mergeCell ref="M100:O100"/>
    <mergeCell ref="D81:E81"/>
    <mergeCell ref="I81:K81"/>
    <mergeCell ref="M81:O81"/>
    <mergeCell ref="Q146:S146"/>
    <mergeCell ref="D138:E138"/>
    <mergeCell ref="I138:K138"/>
    <mergeCell ref="M138:O138"/>
    <mergeCell ref="S101:V101"/>
    <mergeCell ref="D119:E119"/>
    <mergeCell ref="I119:K119"/>
    <mergeCell ref="M119:O119"/>
    <mergeCell ref="P101:R101"/>
    <mergeCell ref="P120:R120"/>
    <mergeCell ref="S120:V120"/>
    <mergeCell ref="Q108:S108"/>
    <mergeCell ref="Q113:S113"/>
    <mergeCell ref="Q127:S127"/>
    <mergeCell ref="P139:R139"/>
    <mergeCell ref="S139:V139"/>
    <mergeCell ref="S63:V63"/>
    <mergeCell ref="S82:V82"/>
    <mergeCell ref="Q51:S51"/>
    <mergeCell ref="Q56:S56"/>
    <mergeCell ref="Q132:S132"/>
    <mergeCell ref="P82:R82"/>
    <mergeCell ref="Q70:S70"/>
    <mergeCell ref="Q75:S75"/>
    <mergeCell ref="Q89:S89"/>
    <mergeCell ref="Q94:S94"/>
    <mergeCell ref="T3:U3"/>
    <mergeCell ref="V3:W3"/>
    <mergeCell ref="Q151:S151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D62:E62"/>
    <mergeCell ref="I62:K62"/>
    <mergeCell ref="M62:O62"/>
    <mergeCell ref="P63:R63"/>
  </mergeCells>
  <phoneticPr fontId="1" type="noConversion"/>
  <conditionalFormatting sqref="P9">
    <cfRule type="expression" dxfId="1012" priority="177">
      <formula>P9&lt;P8</formula>
    </cfRule>
  </conditionalFormatting>
  <conditionalFormatting sqref="T9">
    <cfRule type="expression" dxfId="1011" priority="176">
      <formula>T9&lt;T8</formula>
    </cfRule>
  </conditionalFormatting>
  <conditionalFormatting sqref="L8:V12 D14:D17 D19:D22">
    <cfRule type="expression" dxfId="1010" priority="175">
      <formula>ROUND(D8,3)&lt;&gt;D8</formula>
    </cfRule>
  </conditionalFormatting>
  <conditionalFormatting sqref="L8:V12 D14:D17 D19:D22">
    <cfRule type="expression" dxfId="1009" priority="173">
      <formula>D8=0</formula>
    </cfRule>
  </conditionalFormatting>
  <conditionalFormatting sqref="L122:V126 D128:D131 D133:D136">
    <cfRule type="expression" dxfId="1008" priority="133">
      <formula>ROUND(D122,3)&lt;&gt;D122</formula>
    </cfRule>
  </conditionalFormatting>
  <conditionalFormatting sqref="L103:V107 D109:D112 D114:D117">
    <cfRule type="expression" dxfId="1007" priority="145">
      <formula>D103=0</formula>
    </cfRule>
  </conditionalFormatting>
  <conditionalFormatting sqref="Q8">
    <cfRule type="expression" dxfId="1006" priority="167">
      <formula>NOT(AND(F8&lt;&gt;0,C6&lt;&gt;0))</formula>
    </cfRule>
  </conditionalFormatting>
  <conditionalFormatting sqref="R8">
    <cfRule type="expression" dxfId="1005" priority="166">
      <formula>NOT(AND(F8&lt;&gt;0,C6&lt;&gt;0))</formula>
    </cfRule>
  </conditionalFormatting>
  <conditionalFormatting sqref="U8">
    <cfRule type="expression" dxfId="1004" priority="165">
      <formula>NOT(AND(F8&lt;&gt;0,C6&lt;&gt;0))</formula>
    </cfRule>
  </conditionalFormatting>
  <conditionalFormatting sqref="V8">
    <cfRule type="expression" dxfId="1003" priority="164">
      <formula>NOT(AND(F8&lt;&gt;0,C6&lt;&gt;0))</formula>
    </cfRule>
  </conditionalFormatting>
  <conditionalFormatting sqref="P28">
    <cfRule type="expression" dxfId="1002" priority="163">
      <formula>P28&lt;P27</formula>
    </cfRule>
  </conditionalFormatting>
  <conditionalFormatting sqref="T28">
    <cfRule type="expression" dxfId="1001" priority="162">
      <formula>T28&lt;T27</formula>
    </cfRule>
  </conditionalFormatting>
  <conditionalFormatting sqref="L27:V31 D33:D36 D38:D41">
    <cfRule type="expression" dxfId="1000" priority="161">
      <formula>ROUND(D27,3)&lt;&gt;D27</formula>
    </cfRule>
  </conditionalFormatting>
  <conditionalFormatting sqref="L27:V31 D33:D36 D38:D41">
    <cfRule type="expression" dxfId="999" priority="159">
      <formula>D27=0</formula>
    </cfRule>
  </conditionalFormatting>
  <conditionalFormatting sqref="L141:V145 D147:D150 D152:D155">
    <cfRule type="expression" dxfId="998" priority="119">
      <formula>ROUND(D141,3)&lt;&gt;D141</formula>
    </cfRule>
  </conditionalFormatting>
  <conditionalFormatting sqref="L122:V126 D128:D131 D133:D136">
    <cfRule type="expression" dxfId="997" priority="131">
      <formula>D122=0</formula>
    </cfRule>
  </conditionalFormatting>
  <conditionalFormatting sqref="Q27">
    <cfRule type="expression" dxfId="996" priority="153">
      <formula>NOT(AND(F27&lt;&gt;0,C25&lt;&gt;0))</formula>
    </cfRule>
  </conditionalFormatting>
  <conditionalFormatting sqref="R27">
    <cfRule type="expression" dxfId="995" priority="152">
      <formula>NOT(AND(F27&lt;&gt;0,C25&lt;&gt;0))</formula>
    </cfRule>
  </conditionalFormatting>
  <conditionalFormatting sqref="U27">
    <cfRule type="expression" dxfId="994" priority="151">
      <formula>NOT(AND(F27&lt;&gt;0,C25&lt;&gt;0))</formula>
    </cfRule>
  </conditionalFormatting>
  <conditionalFormatting sqref="V27">
    <cfRule type="expression" dxfId="993" priority="150">
      <formula>NOT(AND(F27&lt;&gt;0,C25&lt;&gt;0))</formula>
    </cfRule>
  </conditionalFormatting>
  <conditionalFormatting sqref="P104">
    <cfRule type="expression" dxfId="992" priority="149">
      <formula>P104&lt;P103</formula>
    </cfRule>
  </conditionalFormatting>
  <conditionalFormatting sqref="T104">
    <cfRule type="expression" dxfId="991" priority="148">
      <formula>T104&lt;T103</formula>
    </cfRule>
  </conditionalFormatting>
  <conditionalFormatting sqref="L103:V107 D109:D112 D114:D117">
    <cfRule type="expression" dxfId="990" priority="147">
      <formula>ROUND(D103,3)&lt;&gt;D103</formula>
    </cfRule>
  </conditionalFormatting>
  <conditionalFormatting sqref="L141:V145 D147:D150 D152:D155">
    <cfRule type="expression" dxfId="989" priority="117">
      <formula>D141=0</formula>
    </cfRule>
  </conditionalFormatting>
  <conditionalFormatting sqref="Q103">
    <cfRule type="expression" dxfId="988" priority="139">
      <formula>NOT(AND(F103&lt;&gt;0,C101&lt;&gt;0))</formula>
    </cfRule>
  </conditionalFormatting>
  <conditionalFormatting sqref="R103">
    <cfRule type="expression" dxfId="987" priority="138">
      <formula>NOT(AND(F103&lt;&gt;0,C101&lt;&gt;0))</formula>
    </cfRule>
  </conditionalFormatting>
  <conditionalFormatting sqref="U103">
    <cfRule type="expression" dxfId="986" priority="137">
      <formula>NOT(AND(F103&lt;&gt;0,C101&lt;&gt;0))</formula>
    </cfRule>
  </conditionalFormatting>
  <conditionalFormatting sqref="V103">
    <cfRule type="expression" dxfId="985" priority="136">
      <formula>NOT(AND(F103&lt;&gt;0,C101&lt;&gt;0))</formula>
    </cfRule>
  </conditionalFormatting>
  <conditionalFormatting sqref="P123">
    <cfRule type="expression" dxfId="984" priority="135">
      <formula>P123&lt;P122</formula>
    </cfRule>
  </conditionalFormatting>
  <conditionalFormatting sqref="T123">
    <cfRule type="expression" dxfId="983" priority="134">
      <formula>T123&lt;T122</formula>
    </cfRule>
  </conditionalFormatting>
  <conditionalFormatting sqref="Q122">
    <cfRule type="expression" dxfId="982" priority="125">
      <formula>NOT(AND(F122&lt;&gt;0,C120&lt;&gt;0))</formula>
    </cfRule>
  </conditionalFormatting>
  <conditionalFormatting sqref="R122">
    <cfRule type="expression" dxfId="981" priority="124">
      <formula>NOT(AND(F122&lt;&gt;0,C120&lt;&gt;0))</formula>
    </cfRule>
  </conditionalFormatting>
  <conditionalFormatting sqref="U122">
    <cfRule type="expression" dxfId="980" priority="123">
      <formula>NOT(AND(F122&lt;&gt;0,C120&lt;&gt;0))</formula>
    </cfRule>
  </conditionalFormatting>
  <conditionalFormatting sqref="V122">
    <cfRule type="expression" dxfId="979" priority="122">
      <formula>NOT(AND(F122&lt;&gt;0,C120&lt;&gt;0))</formula>
    </cfRule>
  </conditionalFormatting>
  <conditionalFormatting sqref="P142">
    <cfRule type="expression" dxfId="978" priority="121">
      <formula>P142&lt;P141</formula>
    </cfRule>
  </conditionalFormatting>
  <conditionalFormatting sqref="T142">
    <cfRule type="expression" dxfId="977" priority="120">
      <formula>T142&lt;T141</formula>
    </cfRule>
  </conditionalFormatting>
  <conditionalFormatting sqref="Q141">
    <cfRule type="expression" dxfId="976" priority="111">
      <formula>NOT(AND(F141&lt;&gt;0,C139&lt;&gt;0))</formula>
    </cfRule>
  </conditionalFormatting>
  <conditionalFormatting sqref="R141">
    <cfRule type="expression" dxfId="975" priority="110">
      <formula>NOT(AND(F141&lt;&gt;0,C139&lt;&gt;0))</formula>
    </cfRule>
  </conditionalFormatting>
  <conditionalFormatting sqref="U141">
    <cfRule type="expression" dxfId="974" priority="109">
      <formula>NOT(AND(F141&lt;&gt;0,C139&lt;&gt;0))</formula>
    </cfRule>
  </conditionalFormatting>
  <conditionalFormatting sqref="V141">
    <cfRule type="expression" dxfId="973" priority="108">
      <formula>NOT(AND(F141&lt;&gt;0,C139&lt;&gt;0))</formula>
    </cfRule>
  </conditionalFormatting>
  <conditionalFormatting sqref="L6">
    <cfRule type="expression" dxfId="972" priority="106">
      <formula>ROUND(L6,3)&lt;&gt;L6</formula>
    </cfRule>
    <cfRule type="expression" dxfId="971" priority="107">
      <formula>L6=0</formula>
    </cfRule>
  </conditionalFormatting>
  <conditionalFormatting sqref="L25">
    <cfRule type="expression" dxfId="970" priority="104">
      <formula>ROUND(L25,3)&lt;&gt;L25</formula>
    </cfRule>
    <cfRule type="expression" dxfId="969" priority="105">
      <formula>L25=0</formula>
    </cfRule>
  </conditionalFormatting>
  <conditionalFormatting sqref="L101">
    <cfRule type="expression" dxfId="968" priority="102">
      <formula>ROUND(L101,3)&lt;&gt;L101</formula>
    </cfRule>
    <cfRule type="expression" dxfId="967" priority="103">
      <formula>L101=0</formula>
    </cfRule>
  </conditionalFormatting>
  <conditionalFormatting sqref="L120">
    <cfRule type="expression" dxfId="966" priority="100">
      <formula>ROUND(L120,3)&lt;&gt;L120</formula>
    </cfRule>
    <cfRule type="expression" dxfId="965" priority="101">
      <formula>L120=0</formula>
    </cfRule>
  </conditionalFormatting>
  <conditionalFormatting sqref="L139">
    <cfRule type="expression" dxfId="964" priority="98">
      <formula>ROUND(L139,3)&lt;&gt;L139</formula>
    </cfRule>
    <cfRule type="expression" dxfId="963" priority="99">
      <formula>L139=0</formula>
    </cfRule>
  </conditionalFormatting>
  <conditionalFormatting sqref="P47">
    <cfRule type="expression" dxfId="962" priority="97">
      <formula>P47&lt;P46</formula>
    </cfRule>
  </conditionalFormatting>
  <conditionalFormatting sqref="T47">
    <cfRule type="expression" dxfId="961" priority="96">
      <formula>T47&lt;T46</formula>
    </cfRule>
  </conditionalFormatting>
  <conditionalFormatting sqref="L46:V50 D52:D55 D57:D60">
    <cfRule type="expression" dxfId="960" priority="95">
      <formula>ROUND(D46,3)&lt;&gt;D46</formula>
    </cfRule>
  </conditionalFormatting>
  <conditionalFormatting sqref="L46:V50 D52:D55 D57:D60">
    <cfRule type="expression" dxfId="959" priority="93">
      <formula>D46=0</formula>
    </cfRule>
  </conditionalFormatting>
  <conditionalFormatting sqref="L44">
    <cfRule type="expression" dxfId="958" priority="85">
      <formula>ROUND(L44,3)&lt;&gt;L44</formula>
    </cfRule>
    <cfRule type="expression" dxfId="957" priority="90">
      <formula>L44=0</formula>
    </cfRule>
  </conditionalFormatting>
  <conditionalFormatting sqref="Q46">
    <cfRule type="expression" dxfId="956" priority="89">
      <formula>NOT(AND(F46&lt;&gt;0,C44&lt;&gt;0))</formula>
    </cfRule>
  </conditionalFormatting>
  <conditionalFormatting sqref="R46">
    <cfRule type="expression" dxfId="955" priority="88">
      <formula>NOT(AND(F46&lt;&gt;0,C44&lt;&gt;0))</formula>
    </cfRule>
  </conditionalFormatting>
  <conditionalFormatting sqref="U46">
    <cfRule type="expression" dxfId="954" priority="87">
      <formula>NOT(AND(F46&lt;&gt;0,C44&lt;&gt;0))</formula>
    </cfRule>
  </conditionalFormatting>
  <conditionalFormatting sqref="V46">
    <cfRule type="expression" dxfId="953" priority="86">
      <formula>NOT(AND(F46&lt;&gt;0,C44&lt;&gt;0))</formula>
    </cfRule>
  </conditionalFormatting>
  <conditionalFormatting sqref="P85">
    <cfRule type="expression" dxfId="952" priority="84">
      <formula>P85&lt;P84</formula>
    </cfRule>
  </conditionalFormatting>
  <conditionalFormatting sqref="T85">
    <cfRule type="expression" dxfId="951" priority="83">
      <formula>T85&lt;T84</formula>
    </cfRule>
  </conditionalFormatting>
  <conditionalFormatting sqref="L84:V88 D90:D93 D95:D98">
    <cfRule type="expression" dxfId="950" priority="82">
      <formula>ROUND(D84,3)&lt;&gt;D84</formula>
    </cfRule>
  </conditionalFormatting>
  <conditionalFormatting sqref="L84:V88 D90:D93 D95:D98">
    <cfRule type="expression" dxfId="949" priority="80">
      <formula>D84=0</formula>
    </cfRule>
  </conditionalFormatting>
  <conditionalFormatting sqref="L82">
    <cfRule type="expression" dxfId="948" priority="72">
      <formula>ROUND(L82,3)&lt;&gt;L82</formula>
    </cfRule>
    <cfRule type="expression" dxfId="947" priority="77">
      <formula>L82=0</formula>
    </cfRule>
  </conditionalFormatting>
  <conditionalFormatting sqref="Q84">
    <cfRule type="expression" dxfId="946" priority="76">
      <formula>NOT(AND(F84&lt;&gt;0,C82&lt;&gt;0))</formula>
    </cfRule>
  </conditionalFormatting>
  <conditionalFormatting sqref="R84">
    <cfRule type="expression" dxfId="945" priority="75">
      <formula>NOT(AND(F84&lt;&gt;0,C82&lt;&gt;0))</formula>
    </cfRule>
  </conditionalFormatting>
  <conditionalFormatting sqref="U84">
    <cfRule type="expression" dxfId="944" priority="74">
      <formula>NOT(AND(F84&lt;&gt;0,C82&lt;&gt;0))</formula>
    </cfRule>
  </conditionalFormatting>
  <conditionalFormatting sqref="V84">
    <cfRule type="expression" dxfId="943" priority="73">
      <formula>NOT(AND(F84&lt;&gt;0,C82&lt;&gt;0))</formula>
    </cfRule>
  </conditionalFormatting>
  <conditionalFormatting sqref="P66">
    <cfRule type="expression" dxfId="942" priority="71">
      <formula>P66&lt;P65</formula>
    </cfRule>
  </conditionalFormatting>
  <conditionalFormatting sqref="T66">
    <cfRule type="expression" dxfId="941" priority="70">
      <formula>T66&lt;T65</formula>
    </cfRule>
  </conditionalFormatting>
  <conditionalFormatting sqref="L65:V69 D71:D74 D76:D79">
    <cfRule type="expression" dxfId="940" priority="69">
      <formula>ROUND(D65,3)&lt;&gt;D65</formula>
    </cfRule>
  </conditionalFormatting>
  <conditionalFormatting sqref="N139">
    <cfRule type="expression" dxfId="939" priority="43">
      <formula>ROUND(N139,1)&lt;&gt;N139</formula>
    </cfRule>
  </conditionalFormatting>
  <conditionalFormatting sqref="L65:V69 D71:D74 D76:D79">
    <cfRule type="expression" dxfId="938" priority="67">
      <formula>D65=0</formula>
    </cfRule>
  </conditionalFormatting>
  <conditionalFormatting sqref="L63">
    <cfRule type="expression" dxfId="937" priority="59">
      <formula>ROUND(L63,3)&lt;&gt;L63</formula>
    </cfRule>
    <cfRule type="expression" dxfId="936" priority="64">
      <formula>L63=0</formula>
    </cfRule>
  </conditionalFormatting>
  <conditionalFormatting sqref="Q65">
    <cfRule type="expression" dxfId="935" priority="63">
      <formula>NOT(AND(F65&lt;&gt;0,C63&lt;&gt;0))</formula>
    </cfRule>
  </conditionalFormatting>
  <conditionalFormatting sqref="R65">
    <cfRule type="expression" dxfId="934" priority="62">
      <formula>NOT(AND(F65&lt;&gt;0,C63&lt;&gt;0))</formula>
    </cfRule>
  </conditionalFormatting>
  <conditionalFormatting sqref="U65">
    <cfRule type="expression" dxfId="933" priority="61">
      <formula>NOT(AND(F65&lt;&gt;0,C63&lt;&gt;0))</formula>
    </cfRule>
  </conditionalFormatting>
  <conditionalFormatting sqref="V65">
    <cfRule type="expression" dxfId="932" priority="60">
      <formula>NOT(AND(F65&lt;&gt;0,C63&lt;&gt;0))</formula>
    </cfRule>
  </conditionalFormatting>
  <conditionalFormatting sqref="H6">
    <cfRule type="expression" dxfId="931" priority="58">
      <formula>ROUND(IF(H6="隐藏水印。作者：战犬金龟（贴吧/B站）",1,0),1)</formula>
    </cfRule>
  </conditionalFormatting>
  <conditionalFormatting sqref="H25">
    <cfRule type="expression" dxfId="930" priority="57">
      <formula>ROUND(IF(H25="隐藏水印。作者：战犬金龟（贴吧/B站）",1,0),1)</formula>
    </cfRule>
  </conditionalFormatting>
  <conditionalFormatting sqref="H44">
    <cfRule type="expression" dxfId="929" priority="56">
      <formula>ROUND(IF(H44="隐藏水印。作者：战犬金龟（贴吧/B站）",1,0),1)</formula>
    </cfRule>
  </conditionalFormatting>
  <conditionalFormatting sqref="H63">
    <cfRule type="expression" dxfId="928" priority="55">
      <formula>ROUND(IF(H63="隐藏水印。作者：战犬金龟（贴吧/B站）",1,0),1)</formula>
    </cfRule>
  </conditionalFormatting>
  <conditionalFormatting sqref="H82">
    <cfRule type="expression" dxfId="927" priority="54">
      <formula>ROUND(IF(H82="隐藏水印。作者：战犬金龟（贴吧/B站）",1,0),1)</formula>
    </cfRule>
  </conditionalFormatting>
  <conditionalFormatting sqref="H101">
    <cfRule type="expression" dxfId="926" priority="53">
      <formula>ROUND(IF(H101="隐藏水印。作者：战犬金龟（贴吧/B站）",1,0),1)</formula>
    </cfRule>
  </conditionalFormatting>
  <conditionalFormatting sqref="H120">
    <cfRule type="expression" dxfId="925" priority="52">
      <formula>ROUND(IF(H120="隐藏水印。作者：战犬金龟（贴吧/B站）",1,0),1)</formula>
    </cfRule>
  </conditionalFormatting>
  <conditionalFormatting sqref="H139">
    <cfRule type="expression" dxfId="924" priority="51">
      <formula>ROUND(IF(H139="隐藏水印。作者：战犬金龟（贴吧/B站）",1,0),1)</formula>
    </cfRule>
  </conditionalFormatting>
  <conditionalFormatting sqref="N6">
    <cfRule type="expression" dxfId="923" priority="50">
      <formula>ROUND(N6,1)&lt;&gt;N6</formula>
    </cfRule>
  </conditionalFormatting>
  <conditionalFormatting sqref="N25">
    <cfRule type="expression" dxfId="922" priority="49">
      <formula>ROUND(N25,1)&lt;&gt;N25</formula>
    </cfRule>
  </conditionalFormatting>
  <conditionalFormatting sqref="N44">
    <cfRule type="expression" dxfId="921" priority="48">
      <formula>ROUND(N44,1)&lt;&gt;N44</formula>
    </cfRule>
  </conditionalFormatting>
  <conditionalFormatting sqref="N63">
    <cfRule type="expression" dxfId="920" priority="47">
      <formula>ROUND(N63,1)&lt;&gt;N63</formula>
    </cfRule>
  </conditionalFormatting>
  <conditionalFormatting sqref="N82">
    <cfRule type="expression" dxfId="919" priority="46">
      <formula>ROUND(N82,1)&lt;&gt;N82</formula>
    </cfRule>
  </conditionalFormatting>
  <conditionalFormatting sqref="N101">
    <cfRule type="expression" dxfId="918" priority="45">
      <formula>ROUND(N101,1)&lt;&gt;N101</formula>
    </cfRule>
  </conditionalFormatting>
  <conditionalFormatting sqref="N120">
    <cfRule type="expression" dxfId="917" priority="44">
      <formula>ROUND(N120,1)&lt;&gt;N120</formula>
    </cfRule>
  </conditionalFormatting>
  <conditionalFormatting sqref="F14:J17 F19:J22">
    <cfRule type="expression" dxfId="916" priority="42">
      <formula>ROUND(F14,3)&lt;&gt;F14</formula>
    </cfRule>
  </conditionalFormatting>
  <conditionalFormatting sqref="K14:P17 K19:P22">
    <cfRule type="expression" dxfId="915" priority="41">
      <formula>ROUND(K14,1)&lt;&gt;K14</formula>
    </cfRule>
  </conditionalFormatting>
  <conditionalFormatting sqref="F14:P17 F19:P22">
    <cfRule type="expression" dxfId="914" priority="40">
      <formula>F14=0</formula>
    </cfRule>
  </conditionalFormatting>
  <conditionalFormatting sqref="F14:F17 F19:F22">
    <cfRule type="expression" dxfId="913" priority="39">
      <formula>AND(T14&lt;&gt;"",F14&lt;&gt;"")</formula>
    </cfRule>
  </conditionalFormatting>
  <conditionalFormatting sqref="G14:G17 G19:G22">
    <cfRule type="expression" dxfId="912" priority="38">
      <formula>AND(T14&lt;&gt;"",F14="")</formula>
    </cfRule>
  </conditionalFormatting>
  <conditionalFormatting sqref="F33:J36 F38:J41">
    <cfRule type="expression" dxfId="911" priority="37">
      <formula>ROUND(F33,3)&lt;&gt;F33</formula>
    </cfRule>
  </conditionalFormatting>
  <conditionalFormatting sqref="K33:P36 K38:P41">
    <cfRule type="expression" dxfId="910" priority="36">
      <formula>ROUND(K33,1)&lt;&gt;K33</formula>
    </cfRule>
  </conditionalFormatting>
  <conditionalFormatting sqref="F33:P36 F38:P41">
    <cfRule type="expression" dxfId="909" priority="35">
      <formula>F33=0</formula>
    </cfRule>
  </conditionalFormatting>
  <conditionalFormatting sqref="F33:F36 F38:F41">
    <cfRule type="expression" dxfId="908" priority="34">
      <formula>AND(T33&lt;&gt;"",F33&lt;&gt;"")</formula>
    </cfRule>
  </conditionalFormatting>
  <conditionalFormatting sqref="G33:G36 G38:G41">
    <cfRule type="expression" dxfId="907" priority="33">
      <formula>AND(T33&lt;&gt;"",F33="")</formula>
    </cfRule>
  </conditionalFormatting>
  <conditionalFormatting sqref="G147:G150 G152:G155">
    <cfRule type="expression" dxfId="906" priority="3">
      <formula>AND(T147&lt;&gt;"",F147="")</formula>
    </cfRule>
  </conditionalFormatting>
  <conditionalFormatting sqref="F52:J55 F57:J60">
    <cfRule type="expression" dxfId="905" priority="32">
      <formula>ROUND(F52,3)&lt;&gt;F52</formula>
    </cfRule>
  </conditionalFormatting>
  <conditionalFormatting sqref="K52:P55 K57:P60">
    <cfRule type="expression" dxfId="904" priority="31">
      <formula>ROUND(K52,1)&lt;&gt;K52</formula>
    </cfRule>
  </conditionalFormatting>
  <conditionalFormatting sqref="F52:P55 F57:P60">
    <cfRule type="expression" dxfId="903" priority="30">
      <formula>F52=0</formula>
    </cfRule>
  </conditionalFormatting>
  <conditionalFormatting sqref="F52:F55 F57:F60">
    <cfRule type="expression" dxfId="902" priority="29">
      <formula>AND(T52&lt;&gt;"",F52&lt;&gt;"")</formula>
    </cfRule>
  </conditionalFormatting>
  <conditionalFormatting sqref="G52:G55 G57:G60">
    <cfRule type="expression" dxfId="901" priority="28">
      <formula>AND(T52&lt;&gt;"",F52="")</formula>
    </cfRule>
  </conditionalFormatting>
  <conditionalFormatting sqref="F71:J74 F76:J79">
    <cfRule type="expression" dxfId="900" priority="27">
      <formula>ROUND(F71,3)&lt;&gt;F71</formula>
    </cfRule>
  </conditionalFormatting>
  <conditionalFormatting sqref="K71:P74 K76:P79">
    <cfRule type="expression" dxfId="899" priority="26">
      <formula>ROUND(K71,1)&lt;&gt;K71</formula>
    </cfRule>
  </conditionalFormatting>
  <conditionalFormatting sqref="F71:P74 F76:P79">
    <cfRule type="expression" dxfId="898" priority="25">
      <formula>F71=0</formula>
    </cfRule>
  </conditionalFormatting>
  <conditionalFormatting sqref="F71:F74 F76:F79">
    <cfRule type="expression" dxfId="897" priority="24">
      <formula>AND(T71&lt;&gt;"",F71&lt;&gt;"")</formula>
    </cfRule>
  </conditionalFormatting>
  <conditionalFormatting sqref="G71:G74 G76:G79">
    <cfRule type="expression" dxfId="896" priority="23">
      <formula>AND(T71&lt;&gt;"",F71="")</formula>
    </cfRule>
  </conditionalFormatting>
  <conditionalFormatting sqref="F90:J93 F95:J98">
    <cfRule type="expression" dxfId="895" priority="22">
      <formula>ROUND(F90,3)&lt;&gt;F90</formula>
    </cfRule>
  </conditionalFormatting>
  <conditionalFormatting sqref="K90:P93 K95:P98">
    <cfRule type="expression" dxfId="894" priority="21">
      <formula>ROUND(K90,1)&lt;&gt;K90</formula>
    </cfRule>
  </conditionalFormatting>
  <conditionalFormatting sqref="F90:P93 F95:P98">
    <cfRule type="expression" dxfId="893" priority="20">
      <formula>F90=0</formula>
    </cfRule>
  </conditionalFormatting>
  <conditionalFormatting sqref="F90:F93 F95:F98">
    <cfRule type="expression" dxfId="892" priority="19">
      <formula>AND(T90&lt;&gt;"",F90&lt;&gt;"")</formula>
    </cfRule>
  </conditionalFormatting>
  <conditionalFormatting sqref="G90:G93 G95:G98">
    <cfRule type="expression" dxfId="891" priority="18">
      <formula>AND(T90&lt;&gt;"",F90="")</formula>
    </cfRule>
  </conditionalFormatting>
  <conditionalFormatting sqref="F109:J112 F114:J117">
    <cfRule type="expression" dxfId="890" priority="17">
      <formula>ROUND(F109,3)&lt;&gt;F109</formula>
    </cfRule>
  </conditionalFormatting>
  <conditionalFormatting sqref="K109:P112 K114:P117">
    <cfRule type="expression" dxfId="889" priority="16">
      <formula>ROUND(K109,1)&lt;&gt;K109</formula>
    </cfRule>
  </conditionalFormatting>
  <conditionalFormatting sqref="F109:P112 F114:P117">
    <cfRule type="expression" dxfId="888" priority="15">
      <formula>F109=0</formula>
    </cfRule>
  </conditionalFormatting>
  <conditionalFormatting sqref="F109:F112 F114:F117">
    <cfRule type="expression" dxfId="887" priority="14">
      <formula>AND(T109&lt;&gt;"",F109&lt;&gt;"")</formula>
    </cfRule>
  </conditionalFormatting>
  <conditionalFormatting sqref="G109:G112 G114:G117">
    <cfRule type="expression" dxfId="886" priority="13">
      <formula>AND(T109&lt;&gt;"",F109="")</formula>
    </cfRule>
  </conditionalFormatting>
  <conditionalFormatting sqref="F128:J131 F133:J136">
    <cfRule type="expression" dxfId="885" priority="12">
      <formula>ROUND(F128,3)&lt;&gt;F128</formula>
    </cfRule>
  </conditionalFormatting>
  <conditionalFormatting sqref="K128:P131 K133:P136">
    <cfRule type="expression" dxfId="884" priority="11">
      <formula>ROUND(K128,1)&lt;&gt;K128</formula>
    </cfRule>
  </conditionalFormatting>
  <conditionalFormatting sqref="F128:P131 F133:P136">
    <cfRule type="expression" dxfId="883" priority="10">
      <formula>F128=0</formula>
    </cfRule>
  </conditionalFormatting>
  <conditionalFormatting sqref="F128:F131 F133:F136">
    <cfRule type="expression" dxfId="882" priority="9">
      <formula>AND(T128&lt;&gt;"",F128&lt;&gt;"")</formula>
    </cfRule>
  </conditionalFormatting>
  <conditionalFormatting sqref="G128:G131 G133:G136">
    <cfRule type="expression" dxfId="881" priority="8">
      <formula>AND(T128&lt;&gt;"",F128="")</formula>
    </cfRule>
  </conditionalFormatting>
  <conditionalFormatting sqref="F147:J150 F152:J155">
    <cfRule type="expression" dxfId="880" priority="7">
      <formula>ROUND(F147,3)&lt;&gt;F147</formula>
    </cfRule>
  </conditionalFormatting>
  <conditionalFormatting sqref="K147:P150 K152:P155">
    <cfRule type="expression" dxfId="879" priority="6">
      <formula>ROUND(K147,1)&lt;&gt;K147</formula>
    </cfRule>
  </conditionalFormatting>
  <conditionalFormatting sqref="F147:P150 F152:P155">
    <cfRule type="expression" dxfId="878" priority="5">
      <formula>F147=0</formula>
    </cfRule>
  </conditionalFormatting>
  <conditionalFormatting sqref="F147:F150 F152:F155">
    <cfRule type="expression" dxfId="877" priority="4">
      <formula>AND(T147&lt;&gt;"",F147&lt;&gt;"")</formula>
    </cfRule>
  </conditionalFormatting>
  <conditionalFormatting sqref="B3:W3">
    <cfRule type="expression" dxfId="876" priority="1">
      <formula>B3=0</formula>
    </cfRule>
  </conditionalFormatting>
  <hyperlinks>
    <hyperlink ref="I102" r:id="rId1"/>
    <hyperlink ref="I121" r:id="rId2"/>
    <hyperlink ref="I7" r:id="rId3"/>
    <hyperlink ref="I26" r:id="rId4"/>
    <hyperlink ref="I140" r:id="rId5"/>
    <hyperlink ref="I83" r:id="rId6"/>
    <hyperlink ref="I46" r:id="rId7"/>
    <hyperlink ref="I65" r:id="rId8"/>
    <hyperlink ref="G63" r:id="rId9"/>
    <hyperlink ref="G44" r:id="rId10"/>
    <hyperlink ref="G43" r:id="rId11"/>
    <hyperlink ref="G62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7"/>
  <sheetViews>
    <sheetView workbookViewId="0">
      <selection activeCell="W4" sqref="W4"/>
    </sheetView>
  </sheetViews>
  <sheetFormatPr defaultRowHeight="14.4"/>
  <sheetData>
    <row r="1" spans="1:23">
      <c r="A1" s="57" t="s">
        <v>225</v>
      </c>
    </row>
    <row r="3" spans="1:23">
      <c r="A3" s="57" t="s">
        <v>300</v>
      </c>
      <c r="B3" s="92" t="str">
        <f ca="1">HYPERLINK("#A5",INDIRECT("A5"))</f>
        <v>长征5号</v>
      </c>
      <c r="C3" s="93"/>
      <c r="D3" s="92" t="str">
        <f ca="1">HYPERLINK("#A24",INDIRECT("A24"))</f>
        <v>长征5B</v>
      </c>
      <c r="E3" s="93"/>
      <c r="F3" s="92" t="str">
        <f ca="1">HYPERLINK("#A43",INDIRECT("A43"))</f>
        <v>长征7号</v>
      </c>
      <c r="G3" s="92"/>
      <c r="H3" s="92" t="str">
        <f ca="1">HYPERLINK("#A62",INDIRECT("A62"))</f>
        <v>长征7A</v>
      </c>
      <c r="I3" s="93"/>
      <c r="J3" s="92" t="str">
        <f ca="1">HYPERLINK("#A81",INDIRECT("A81"))</f>
        <v>长征8号</v>
      </c>
      <c r="K3" s="93"/>
      <c r="L3" s="92" t="str">
        <f ca="1">HYPERLINK("#A100",INDIRECT("A100"))</f>
        <v>长征8号改</v>
      </c>
      <c r="M3" s="93"/>
      <c r="N3" s="92" t="str">
        <f ca="1">HYPERLINK("#A119",INDIRECT("A119"))</f>
        <v>长征3B</v>
      </c>
      <c r="O3" s="93"/>
      <c r="P3" s="92" t="str">
        <f ca="1">HYPERLINK("#A138",INDIRECT("A138"))</f>
        <v>长征2C</v>
      </c>
      <c r="Q3" s="93"/>
      <c r="R3" s="92" t="str">
        <f ca="1">HYPERLINK("#A157",INDIRECT("A157"))</f>
        <v>长征2D</v>
      </c>
      <c r="S3" s="93"/>
      <c r="T3" s="92" t="str">
        <f ca="1">HYPERLINK("#A176",INDIRECT("A176"))</f>
        <v>长征2E</v>
      </c>
      <c r="U3" s="93"/>
      <c r="V3" s="92">
        <f ca="1">HYPERLINK("#A195",INDIRECT("A195"))</f>
        <v>0</v>
      </c>
      <c r="W3" s="93"/>
    </row>
    <row r="4" spans="1:23" ht="15" thickBot="1"/>
    <row r="5" spans="1:23" ht="15" thickBot="1">
      <c r="A5" s="52" t="s">
        <v>171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172</v>
      </c>
      <c r="B6" s="39"/>
      <c r="C6" s="2">
        <v>4</v>
      </c>
      <c r="D6" s="2">
        <v>310</v>
      </c>
      <c r="E6" s="2">
        <v>300</v>
      </c>
      <c r="F6" s="41"/>
      <c r="G6" s="42"/>
      <c r="H6" s="42"/>
      <c r="I6" s="24" t="s">
        <v>188</v>
      </c>
      <c r="J6" s="24"/>
      <c r="K6" s="24"/>
      <c r="L6" s="55">
        <f>IFERROR(IF(AND(F8&lt;&gt;0,C6&lt;&gt;0),M8/F8*E6+M9/F9*D6,M9/F9*D6),0)</f>
        <v>1083.2587765398359</v>
      </c>
      <c r="M6" s="53" t="s">
        <v>45</v>
      </c>
      <c r="N6" s="17">
        <f>IF(AND(F8&lt;&gt;0,C6&lt;&gt;0),(M8+M9)/(M8/F8+M9/F9),"")</f>
        <v>343.47412828520902</v>
      </c>
      <c r="O6" s="56" t="s">
        <v>46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60" t="s">
        <v>201</v>
      </c>
      <c r="J7" s="24"/>
      <c r="K7" s="24"/>
      <c r="L7" s="11" t="s">
        <v>6</v>
      </c>
      <c r="M7" s="12" t="s">
        <v>69</v>
      </c>
      <c r="N7" s="12" t="s">
        <v>15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16</v>
      </c>
      <c r="U7" s="1" t="s">
        <v>10</v>
      </c>
      <c r="V7" s="1" t="s">
        <v>11</v>
      </c>
    </row>
    <row r="8" spans="1:23">
      <c r="A8" s="40"/>
      <c r="B8" s="27" t="s">
        <v>3</v>
      </c>
      <c r="C8" s="3">
        <v>156.6</v>
      </c>
      <c r="D8" s="4">
        <v>11.35</v>
      </c>
      <c r="E8" s="4">
        <v>273.39999999999998</v>
      </c>
      <c r="F8" s="4">
        <v>335</v>
      </c>
      <c r="G8" s="19"/>
      <c r="H8" s="20"/>
      <c r="I8" s="24" t="s">
        <v>189</v>
      </c>
      <c r="J8" s="24"/>
      <c r="K8" s="24"/>
      <c r="L8" s="14">
        <f>C8*C6</f>
        <v>626.4</v>
      </c>
      <c r="M8" s="1">
        <f>E8*C6</f>
        <v>1093.5999999999999</v>
      </c>
      <c r="N8" s="1">
        <f>IF(D8,L8/D8,0)</f>
        <v>55.189427312775329</v>
      </c>
      <c r="O8" s="15">
        <f>L8-N8</f>
        <v>571.21057268722461</v>
      </c>
      <c r="P8" s="14">
        <f>IF(AND(F8&lt;&gt;0,C6&lt;&gt;0),O8/M8*F8/IF(G8,G8,1),0)</f>
        <v>174.97763519588537</v>
      </c>
      <c r="Q8" s="1">
        <f>SUM(L8:L12)</f>
        <v>852.3</v>
      </c>
      <c r="R8" s="15">
        <f>N8+Q9</f>
        <v>222.43495241612644</v>
      </c>
      <c r="S8" s="14">
        <f>N8+H8*O8</f>
        <v>55.189427312775329</v>
      </c>
      <c r="T8" s="1">
        <f>IF(AND(F8&lt;&gt;0,C6&lt;&gt;0),(1-H8)*O8/M8*F8/IF(G8,G8,1),0)</f>
        <v>174.97763519588537</v>
      </c>
      <c r="U8" s="1">
        <f>SUM(L8:L12)</f>
        <v>852.3</v>
      </c>
      <c r="V8" s="1">
        <f>S8+U9</f>
        <v>222.43495241612644</v>
      </c>
    </row>
    <row r="9" spans="1:23">
      <c r="A9" s="47"/>
      <c r="B9" s="27">
        <v>1</v>
      </c>
      <c r="C9" s="5">
        <v>186.9</v>
      </c>
      <c r="D9" s="1">
        <v>8.65</v>
      </c>
      <c r="E9" s="1">
        <v>142.80000000000001</v>
      </c>
      <c r="F9" s="1">
        <v>426</v>
      </c>
      <c r="G9" s="5">
        <v>1</v>
      </c>
      <c r="H9" s="21"/>
      <c r="I9" s="30" t="s">
        <v>190</v>
      </c>
      <c r="J9" s="30"/>
      <c r="K9" s="30"/>
      <c r="L9" s="14">
        <f>C9</f>
        <v>186.9</v>
      </c>
      <c r="M9" s="1">
        <f>E9</f>
        <v>142.80000000000001</v>
      </c>
      <c r="N9" s="1">
        <f>IF(D9,L9/D9,0)</f>
        <v>21.606936416184972</v>
      </c>
      <c r="O9" s="15">
        <f>L9-N9</f>
        <v>165.29306358381504</v>
      </c>
      <c r="P9" s="14">
        <f t="shared" ref="P9:P12" si="0">IF(F9,O9/M9*F9/IF(G9,G9,1),0)</f>
        <v>493.10115606936421</v>
      </c>
      <c r="Q9" s="1">
        <f>IF(F9,SUM(L9:L12)-P8*M9/F9*IF(G9,G9,1),0)</f>
        <v>167.2455251033511</v>
      </c>
      <c r="R9" s="15">
        <f>N9+Q10</f>
        <v>60.606936416184972</v>
      </c>
      <c r="S9" s="14">
        <f>N9+H9*O9</f>
        <v>21.606936416184972</v>
      </c>
      <c r="T9" s="1">
        <f>IF(F9,(1-H9)*O9/M9*F9/IF(G9,G9,1),0)</f>
        <v>493.10115606936421</v>
      </c>
      <c r="U9" s="1">
        <f>IF(F9,SUM(L9:L12)-T8*M9/F9*IF(G9,G9,1),0)</f>
        <v>167.2455251033511</v>
      </c>
      <c r="V9" s="1">
        <f>S9+U10</f>
        <v>60.606936416184972</v>
      </c>
    </row>
    <row r="10" spans="1:23">
      <c r="A10" s="47"/>
      <c r="B10" s="27">
        <v>2</v>
      </c>
      <c r="C10" s="5">
        <v>39</v>
      </c>
      <c r="D10" s="1">
        <v>5.65</v>
      </c>
      <c r="E10" s="1">
        <v>18</v>
      </c>
      <c r="F10" s="1">
        <v>443</v>
      </c>
      <c r="G10" s="5"/>
      <c r="H10" s="21"/>
      <c r="I10" s="30" t="s">
        <v>191</v>
      </c>
      <c r="J10" s="30"/>
      <c r="K10" s="30"/>
      <c r="L10" s="14">
        <f>C10</f>
        <v>39</v>
      </c>
      <c r="M10" s="1">
        <f>E10</f>
        <v>18</v>
      </c>
      <c r="N10" s="1">
        <f>IF(D10,L10/D10,0)</f>
        <v>6.9026548672566364</v>
      </c>
      <c r="O10" s="15">
        <f>L10-N10</f>
        <v>32.097345132743364</v>
      </c>
      <c r="P10" s="14">
        <f t="shared" si="0"/>
        <v>789.95132743362831</v>
      </c>
      <c r="Q10" s="1">
        <f>SUM(L10:L12)</f>
        <v>39</v>
      </c>
      <c r="R10" s="15">
        <f>N10+Q11</f>
        <v>6.9026548672566364</v>
      </c>
      <c r="S10" s="14">
        <f>N10+H10*O10</f>
        <v>6.9026548672566364</v>
      </c>
      <c r="T10" s="1">
        <f t="shared" ref="T10:T12" si="1">IF(F10,(1-H10)*O10/M10*F10/IF(G10,G10,1),0)</f>
        <v>789.95132743362831</v>
      </c>
      <c r="U10" s="1">
        <f>SUM(L10:L12)</f>
        <v>39</v>
      </c>
      <c r="V10" s="1">
        <f>S10+U11</f>
        <v>6.9026548672566364</v>
      </c>
    </row>
    <row r="11" spans="1:23">
      <c r="A11" s="33" t="s">
        <v>45</v>
      </c>
      <c r="B11" s="27">
        <v>3</v>
      </c>
      <c r="C11" s="5"/>
      <c r="D11" s="1"/>
      <c r="E11" s="1"/>
      <c r="F11" s="1"/>
      <c r="G11" s="5"/>
      <c r="H11" s="21"/>
      <c r="I11" s="30"/>
      <c r="J11" s="30"/>
      <c r="K11" s="30"/>
      <c r="L11" s="14">
        <f>C11</f>
        <v>0</v>
      </c>
      <c r="M11" s="1">
        <f>E11</f>
        <v>0</v>
      </c>
      <c r="N11" s="1">
        <f>IF(D11,L11/D11,0)</f>
        <v>0</v>
      </c>
      <c r="O11" s="15">
        <f>L11-N11</f>
        <v>0</v>
      </c>
      <c r="P11" s="14">
        <f t="shared" si="0"/>
        <v>0</v>
      </c>
      <c r="Q11" s="1">
        <f>SUM(L11:L12)</f>
        <v>0</v>
      </c>
      <c r="R11" s="15">
        <f>N11+Q12</f>
        <v>0</v>
      </c>
      <c r="S11" s="14">
        <f>N11+H11*O11</f>
        <v>0</v>
      </c>
      <c r="T11" s="1">
        <f t="shared" si="1"/>
        <v>0</v>
      </c>
      <c r="U11" s="1">
        <f>SUM(L11:L12)</f>
        <v>0</v>
      </c>
      <c r="V11" s="1">
        <f>S11+U12</f>
        <v>0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24"/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265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85" t="s">
        <v>42</v>
      </c>
      <c r="R13" s="85"/>
      <c r="S13" s="85"/>
      <c r="T13" s="31" t="s">
        <v>50</v>
      </c>
      <c r="U13" s="35" t="s">
        <v>47</v>
      </c>
      <c r="V13" s="36" t="s">
        <v>264</v>
      </c>
    </row>
    <row r="14" spans="1:23">
      <c r="A14" s="47"/>
      <c r="B14" s="27" t="s">
        <v>30</v>
      </c>
      <c r="C14" s="8">
        <v>32</v>
      </c>
      <c r="D14" s="1">
        <f>IF(C14,C14+Q8,"")</f>
        <v>884.3</v>
      </c>
      <c r="E14" s="72">
        <f>IF(C14,C14/D14,"")</f>
        <v>3.6186814429492259E-2</v>
      </c>
      <c r="F14" s="14">
        <f>IF(AND(C14&lt;&gt;"",N6&lt;&gt;""),(M8/F8*E6+M9/F9*D6)/(C14+Q8),"")</f>
        <v>1.2249901351801833</v>
      </c>
      <c r="G14" s="1">
        <f>IF(C14,IF(AND(F8&lt;&gt;0,C6&lt;&gt;0),M9,M9/F9*D6)/(C14+Q9),"")</f>
        <v>0.71670367465431362</v>
      </c>
      <c r="H14" s="1">
        <f>IF(C14,(M10)/(C14+Q10),"")</f>
        <v>0.25352112676056338</v>
      </c>
      <c r="I14" s="1">
        <f>IF(C14,(M11)/(C14+Q11),"")</f>
        <v>0</v>
      </c>
      <c r="J14" s="1">
        <f>IF(C14,(M12)/(C14+Q12),"")</f>
        <v>0</v>
      </c>
      <c r="K14" s="14">
        <f>IF(AND(C14&lt;&gt;"",N6&lt;&gt;""),9.8*N6*LN((C14+Q8)/(C14+R8)),"")</f>
        <v>4193.2562718660702</v>
      </c>
      <c r="L14" s="1">
        <f>IF(C14,9.8*F9*LN((C14+Q9)/(C14+R9)),"")</f>
        <v>3198.6224326997299</v>
      </c>
      <c r="M14" s="1">
        <f>IF(C14,9.8*F10*LN((C14+Q10)/(C14+R10)),"")</f>
        <v>2611.8616945311474</v>
      </c>
      <c r="N14" s="1">
        <f>IF(C14,9.8*F11*LN((C14+Q11)/(C14+R11)),"")</f>
        <v>0</v>
      </c>
      <c r="O14" s="1">
        <f>IF(C14,9.8*F12*LN((C14+Q12)/(C14+R12)),"")</f>
        <v>0</v>
      </c>
      <c r="P14" s="15">
        <f>IF(C14,SUM(K14:O14),"")</f>
        <v>10003.740399096947</v>
      </c>
      <c r="Q14" s="1"/>
      <c r="R14" s="1"/>
      <c r="S14" s="1"/>
      <c r="T14" s="32" t="str">
        <f>IF(OR(F14&lt;1,AND(F14="",G14&lt;1)),"起飞推重比不得小于0，空天飞机除外","")</f>
        <v/>
      </c>
      <c r="U14" s="1"/>
      <c r="V14" s="1"/>
    </row>
    <row r="15" spans="1:23">
      <c r="A15" s="33" t="s">
        <v>47</v>
      </c>
      <c r="B15" s="27" t="s">
        <v>31</v>
      </c>
      <c r="C15" s="9">
        <v>14</v>
      </c>
      <c r="D15" s="1">
        <f>IF(C15,C15+Q8,"")</f>
        <v>866.3</v>
      </c>
      <c r="E15" s="72">
        <f t="shared" ref="E15:E17" si="2">IF(C15,C15/D15,"")</f>
        <v>1.6160683366039479E-2</v>
      </c>
      <c r="F15" s="14">
        <f>IF(AND(C15&lt;&gt;"",N6&lt;&gt;""),(M8/F8*E6+M9/F9*D6)/(C15+Q8),"")</f>
        <v>1.2504430065102574</v>
      </c>
      <c r="G15" s="1">
        <f>IF(C15,IF(AND(F8&lt;&gt;0,C6&lt;&gt;0),M9,M9/F9*D6)/(C15+Q9),"")</f>
        <v>0.78788152103932818</v>
      </c>
      <c r="H15" s="1">
        <f>IF(C15,(M10)/(C15+Q10),"")</f>
        <v>0.33962264150943394</v>
      </c>
      <c r="I15" s="1">
        <f>IF(C15,(M11)/(C15+Q11),"")</f>
        <v>0</v>
      </c>
      <c r="J15" s="1">
        <f>IF(C15,(M12)/(C15+Q12),"")</f>
        <v>0</v>
      </c>
      <c r="K15" s="14">
        <f>IF(AND(C15&lt;&gt;"",N6&lt;&gt;""),9.8*N6*LN((C15+Q8)/(C15+R8)),"")</f>
        <v>4371.0070314330542</v>
      </c>
      <c r="L15" s="1">
        <f>IF(C15,9.8*F9*LN((C15+Q9)/(C15+R9)),"")</f>
        <v>3705.6323022078773</v>
      </c>
      <c r="M15" s="1">
        <f>IF(C15,9.8*F10*LN((C15+Q10)/(C15+R10)),"")</f>
        <v>4039.306874130762</v>
      </c>
      <c r="N15" s="1">
        <f>IF(C15,9.8*F11*LN((C15+Q11)/(C15+R11)),"")</f>
        <v>0</v>
      </c>
      <c r="O15" s="1">
        <f>IF(C15,9.8*F12*LN((C15+Q12)/(C15+R12)),"")</f>
        <v>0</v>
      </c>
      <c r="P15" s="15">
        <f>IF(C15,SUM(K15:O15),"")</f>
        <v>12115.946207771693</v>
      </c>
      <c r="Q15" s="1"/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36</v>
      </c>
      <c r="C16" s="9">
        <v>8.1999999999999993</v>
      </c>
      <c r="D16" s="1">
        <f>IF(C16,C16+Q8,"")</f>
        <v>860.5</v>
      </c>
      <c r="E16" s="72">
        <f t="shared" si="2"/>
        <v>9.529343404997094E-3</v>
      </c>
      <c r="F16" s="14">
        <f>IF(AND(C16&lt;&gt;"",N6&lt;&gt;""),(M8/F8*E6+M9/F9*D6)/(C16+Q8),"")</f>
        <v>1.2588713266006228</v>
      </c>
      <c r="G16" s="1">
        <f>IF(C16,IF(AND(F8&lt;&gt;0,C6&lt;&gt;0),M9,M9/F9*D6)/(C16+Q9),"")</f>
        <v>0.81392785547468183</v>
      </c>
      <c r="H16" s="1">
        <f>IF(C16,(M10)/(C16+Q10),"")</f>
        <v>0.38135593220338981</v>
      </c>
      <c r="I16" s="1">
        <f>IF(C16,(M11)/(C16+Q11),"")</f>
        <v>0</v>
      </c>
      <c r="J16" s="1">
        <f>IF(C16,(M12)/(C16+Q12),"")</f>
        <v>0</v>
      </c>
      <c r="K16" s="14">
        <f>IF(AND(C16&lt;&gt;"",N6&lt;&gt;""),9.8*N6*LN((C16+Q8)/(C16+R8)),"")</f>
        <v>4431.9974580320477</v>
      </c>
      <c r="L16" s="1">
        <f>IF(C16,9.8*F9*LN((C16+Q9)/(C16+R9)),"")</f>
        <v>3907.7131479597342</v>
      </c>
      <c r="M16" s="1">
        <f>IF(C16,9.8*F10*LN((C16+Q10)/(C16+R10)),"")</f>
        <v>4947.1266508572107</v>
      </c>
      <c r="N16" s="1">
        <f>IF(C16,9.8*F11*LN((C16+Q11)/(C16+R11)),"")</f>
        <v>0</v>
      </c>
      <c r="O16" s="1">
        <f>IF(C16,9.8*F12*LN((C16+Q12)/(C16+R12)),"")</f>
        <v>0</v>
      </c>
      <c r="P16" s="15">
        <f>IF(C16,SUM(K16:O16),"")</f>
        <v>13286.837256848994</v>
      </c>
      <c r="Q16" s="1"/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/>
      <c r="D17" s="1" t="str">
        <f>IF(C17,C17+Q8,"")</f>
        <v/>
      </c>
      <c r="E17" s="72" t="str">
        <f t="shared" si="2"/>
        <v/>
      </c>
      <c r="F17" s="14" t="str">
        <f>IF(AND(C17&lt;&gt;"",N6&lt;&gt;""),(M8/F8*E6+M9/F9*D6)/(C17+Q8),"")</f>
        <v/>
      </c>
      <c r="G17" s="1" t="str">
        <f>IF(C17,IF(AND(F8&lt;&gt;0,C6&lt;&gt;0),M9,M9/F9*D6)/(C17+Q9),"")</f>
        <v/>
      </c>
      <c r="H17" s="1" t="str">
        <f>IF(C17,(M10)/(C17+Q10),"")</f>
        <v/>
      </c>
      <c r="I17" s="1" t="str">
        <f>IF(C17,(M11)/(C17+Q11),"")</f>
        <v/>
      </c>
      <c r="J17" s="1" t="str">
        <f>IF(C17,(M12)/(C17+Q12),"")</f>
        <v/>
      </c>
      <c r="K17" s="14" t="str">
        <f>IF(AND(C17&lt;&gt;"",N6&lt;&gt;""),9.8*N6*LN((C17+Q8)/(C17+R8)),"")</f>
        <v/>
      </c>
      <c r="L17" s="1" t="str">
        <f>IF(C17,9.8*F9*LN((C17+Q9)/(C17+R9)),"")</f>
        <v/>
      </c>
      <c r="M17" s="1" t="str">
        <f>IF(C17,9.8*F10*LN((C17+Q10)/(C17+R10)),"")</f>
        <v/>
      </c>
      <c r="N17" s="1" t="str">
        <f>IF(C17,9.8*F11*LN((C17+Q11)/(C17+R11)),"")</f>
        <v/>
      </c>
      <c r="O17" s="1" t="str">
        <f>IF(C17,9.8*F12*LN((C17+Q12)/(C17+R12)),"")</f>
        <v/>
      </c>
      <c r="P17" s="15" t="str">
        <f>IF(C17,SUM(K17:O17),"")</f>
        <v/>
      </c>
      <c r="Q17" s="17"/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54</v>
      </c>
      <c r="D18" s="12" t="s">
        <v>28</v>
      </c>
      <c r="E18" s="12" t="s">
        <v>266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85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/>
      <c r="D19" s="1" t="str">
        <f>IF(C19,C19+Q8,"")</f>
        <v/>
      </c>
      <c r="E19" s="72" t="str">
        <f>IF(C19,C19/D19,"")</f>
        <v/>
      </c>
      <c r="F19" s="14" t="str">
        <f>IF(AND(C19&lt;&gt;"",N6&lt;&gt;""),(M8/F8*E6+M9/F9*D6)/(C19+U8),"")</f>
        <v/>
      </c>
      <c r="G19" s="1" t="str">
        <f>IF(C19,IF(AND(F8&lt;&gt;0,C6&lt;&gt;0),M9,M9/F9*D6)/(C19+U9),"")</f>
        <v/>
      </c>
      <c r="H19" s="1" t="str">
        <f>IF(C19,(M10)/(C19+U10),"")</f>
        <v/>
      </c>
      <c r="I19" s="1" t="str">
        <f>IF(C19,(M11)/(C19+U11),"")</f>
        <v/>
      </c>
      <c r="J19" s="1" t="str">
        <f>IF(C19,(M12)/(C19+U12),"")</f>
        <v/>
      </c>
      <c r="K19" s="14" t="str">
        <f>IF(AND(C19&lt;&gt;"",N6&lt;&gt;""),9.8*N6*LN((C19+U8)/(C19+V8)),"")</f>
        <v/>
      </c>
      <c r="L19" s="1" t="str">
        <f>IF(C19,9.8*F9*LN((C19+U9)/(C19+V9)),"")</f>
        <v/>
      </c>
      <c r="M19" s="1" t="str">
        <f>IF(C19,9.8*F10*LN((C19+U10)/(C19+V10)),"")</f>
        <v/>
      </c>
      <c r="N19" s="1" t="str">
        <f>IF(C19,9.8*F11*LN((C19+U11)/(C19+V11)),"")</f>
        <v/>
      </c>
      <c r="O19" s="1" t="str">
        <f>IF(C19,9.8*F12*LN((C19+U12)/(C19+V12)),"")</f>
        <v/>
      </c>
      <c r="P19" s="15" t="str">
        <f>IF(C19,SUM(K19:O19),"")</f>
        <v/>
      </c>
      <c r="Q19" s="1"/>
      <c r="R19" s="1"/>
      <c r="S19" s="1"/>
      <c r="T19" s="32" t="str">
        <f>IF(OR(F19&lt;1,AND(F19="",G19&lt;1)),"起飞推重比不得小于0，空天飞机除外","")</f>
        <v/>
      </c>
      <c r="U19" s="1"/>
      <c r="V19" s="1"/>
    </row>
    <row r="20" spans="1:22">
      <c r="A20" s="47"/>
      <c r="B20" s="27" t="s">
        <v>31</v>
      </c>
      <c r="C20" s="9"/>
      <c r="D20" s="1" t="str">
        <f>IF(C20,C20+Q8,"")</f>
        <v/>
      </c>
      <c r="E20" s="72" t="str">
        <f t="shared" ref="E20:E22" si="4">IF(C20,C20/D20,"")</f>
        <v/>
      </c>
      <c r="F20" s="14" t="str">
        <f>IF(AND(C20&lt;&gt;"",N6&lt;&gt;""),(M8/F8*E6+M9/F9*D6)/(C20+U8),"")</f>
        <v/>
      </c>
      <c r="G20" s="1" t="str">
        <f>IF(C20,IF(AND(F8&lt;&gt;0,C6&lt;&gt;0),M9,M9/F9*D6)/(C20+U9),"")</f>
        <v/>
      </c>
      <c r="H20" s="1" t="str">
        <f>IF(C20,(M10)/(C20+U10),"")</f>
        <v/>
      </c>
      <c r="I20" s="1" t="str">
        <f>IF(C20,(M11)/(C20+U11),"")</f>
        <v/>
      </c>
      <c r="J20" s="1" t="str">
        <f>IF(C20,(M12)/(C20+U12),"")</f>
        <v/>
      </c>
      <c r="K20" s="14" t="str">
        <f>IF(AND(C20&lt;&gt;"",N6&lt;&gt;""),9.8*N6*LN((C20+U8)/(C20+V8)),"")</f>
        <v/>
      </c>
      <c r="L20" s="1" t="str">
        <f>IF(C20,9.8*F9*LN((C20+U9)/(C20+V9)),"")</f>
        <v/>
      </c>
      <c r="M20" s="1" t="str">
        <f>IF(C20,9.8*F10*LN((C20+U10)/(C20+V10)),"")</f>
        <v/>
      </c>
      <c r="N20" s="1" t="str">
        <f>IF(C20,9.8*F11*LN((C20+U11)/(C20+V11)),"")</f>
        <v/>
      </c>
      <c r="O20" s="1" t="str">
        <f>IF(C20,9.8*F12*LN((C20+U12)/(C20+V12)),"")</f>
        <v/>
      </c>
      <c r="P20" s="15" t="str">
        <f>IF(C20,SUM(K20:O20),"")</f>
        <v/>
      </c>
      <c r="Q20" s="1"/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/>
      <c r="D21" s="1" t="str">
        <f>IF(C21,C21+Q8,"")</f>
        <v/>
      </c>
      <c r="E21" s="72" t="str">
        <f t="shared" si="4"/>
        <v/>
      </c>
      <c r="F21" s="14" t="str">
        <f>IF(AND(C21&lt;&gt;"",N6&lt;&gt;""),(M8/F8*E6+M9/F9*D6)/(C21+U8),"")</f>
        <v/>
      </c>
      <c r="G21" s="1" t="str">
        <f>IF(C21,IF(AND(F8&lt;&gt;0,C6&lt;&gt;0),M9,M9/F9*D6)/(C21+U9),"")</f>
        <v/>
      </c>
      <c r="H21" s="1" t="str">
        <f>IF(C21,(M10)/(C21+U10),"")</f>
        <v/>
      </c>
      <c r="I21" s="1" t="str">
        <f>IF(C21,(M11)/(C21+U11),"")</f>
        <v/>
      </c>
      <c r="J21" s="1" t="str">
        <f>IF(C21,(M12)/(C21+U12),"")</f>
        <v/>
      </c>
      <c r="K21" s="14" t="str">
        <f>IF(AND(C21&lt;&gt;"",N6&lt;&gt;""),9.8*N6*LN((C21+U8)/(C21+V8)),"")</f>
        <v/>
      </c>
      <c r="L21" s="1" t="str">
        <f>IF(C21,9.8*F9*LN((C21+U9)/(C21+V9)),"")</f>
        <v/>
      </c>
      <c r="M21" s="1" t="str">
        <f>IF(C21,9.8*F10*LN((C21+U10)/(C21+V10)),"")</f>
        <v/>
      </c>
      <c r="N21" s="1" t="str">
        <f>IF(C21,9.8*F11*LN((C21+U11)/(C21+V11)),"")</f>
        <v/>
      </c>
      <c r="O21" s="1" t="str">
        <f>IF(C21,9.8*F12*LN((C21+U12)/(C21+V12)),"")</f>
        <v/>
      </c>
      <c r="P21" s="15" t="str">
        <f>IF(C21,SUM(K21:O21),"")</f>
        <v/>
      </c>
      <c r="Q21" s="1"/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46</v>
      </c>
      <c r="B22" s="49" t="s">
        <v>33</v>
      </c>
      <c r="C22" s="50"/>
      <c r="D22" s="25" t="str">
        <f>IF(C22,C22+Q8,"")</f>
        <v/>
      </c>
      <c r="E22" s="73" t="str">
        <f t="shared" si="4"/>
        <v/>
      </c>
      <c r="F22" s="70" t="str">
        <f>IF(AND(C22&lt;&gt;"",N6&lt;&gt;""),(M8/F8*E6+M9/F9*D6)/(C22+U8),"")</f>
        <v/>
      </c>
      <c r="G22" s="25" t="str">
        <f>IF(C22,IF(AND(F8&lt;&gt;0,C6&lt;&gt;0),M9,M9/F9*D6)/(C22+U9),"")</f>
        <v/>
      </c>
      <c r="H22" s="25" t="str">
        <f>IF(C22,(M10)/(C22+U10),"")</f>
        <v/>
      </c>
      <c r="I22" s="25" t="str">
        <f>IF(C22,(M11)/(C22+U11),"")</f>
        <v/>
      </c>
      <c r="J22" s="25" t="str">
        <f>IF(C22,(M12)/(C22+U12),"")</f>
        <v/>
      </c>
      <c r="K22" s="70" t="str">
        <f>IF(AND(C22&lt;&gt;"",N6&lt;&gt;""),9.8*N6*LN((C22+U8)/(C22+V8)),"")</f>
        <v/>
      </c>
      <c r="L22" s="25" t="str">
        <f>IF(C22,9.8*F9*LN((C22+U9)/(C22+V9)),"")</f>
        <v/>
      </c>
      <c r="M22" s="25" t="str">
        <f>IF(C22,9.8*F10*LN((C22+U10)/(C22+V10)),"")</f>
        <v/>
      </c>
      <c r="N22" s="25" t="str">
        <f>IF(C22,9.8*F11*LN((C22+U11)/(C22+V11)),"")</f>
        <v/>
      </c>
      <c r="O22" s="25" t="str">
        <f>IF(C22,9.8*F12*LN((C22+U12)/(C22+V12)),"")</f>
        <v/>
      </c>
      <c r="P22" s="71" t="str">
        <f>IF(C22,SUM(K22:O22),"")</f>
        <v/>
      </c>
      <c r="Q22" s="25"/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173</v>
      </c>
      <c r="B24" s="52"/>
      <c r="C24" s="29" t="s">
        <v>0</v>
      </c>
      <c r="D24" s="90" t="s">
        <v>41</v>
      </c>
      <c r="E24" s="90"/>
      <c r="F24" s="43"/>
      <c r="G24" s="43"/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174</v>
      </c>
      <c r="B25" s="39"/>
      <c r="C25" s="2">
        <v>4</v>
      </c>
      <c r="D25" s="2">
        <v>310</v>
      </c>
      <c r="E25" s="2">
        <v>300</v>
      </c>
      <c r="F25" s="41"/>
      <c r="G25" s="42"/>
      <c r="H25" s="42"/>
      <c r="I25" s="24" t="s">
        <v>192</v>
      </c>
      <c r="J25" s="24"/>
      <c r="K25" s="24"/>
      <c r="L25" s="55">
        <f>IFERROR(IF(AND(F27&lt;&gt;0,C25&lt;&gt;0),M27/F27*E25+M28/F28*D25,M28/F28*D25),0)</f>
        <v>1083.2587765398359</v>
      </c>
      <c r="M25" s="53" t="s">
        <v>45</v>
      </c>
      <c r="N25" s="17">
        <f>IF(AND(F27&lt;&gt;0,C25&lt;&gt;0),(M27+M28)/(M27/F27+M28/F28),"")</f>
        <v>343.47412828520902</v>
      </c>
      <c r="O25" s="56" t="s">
        <v>46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59" t="s">
        <v>202</v>
      </c>
      <c r="J26" s="24"/>
      <c r="K26" s="24"/>
      <c r="L26" s="11" t="s">
        <v>6</v>
      </c>
      <c r="M26" s="12" t="s">
        <v>69</v>
      </c>
      <c r="N26" s="12" t="s">
        <v>15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16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>
        <v>156.6</v>
      </c>
      <c r="D27" s="4">
        <v>11.35</v>
      </c>
      <c r="E27" s="4">
        <v>273.39999999999998</v>
      </c>
      <c r="F27" s="4">
        <v>335</v>
      </c>
      <c r="G27" s="19"/>
      <c r="H27" s="20"/>
      <c r="I27" s="24" t="s">
        <v>189</v>
      </c>
      <c r="J27" s="24"/>
      <c r="K27" s="24"/>
      <c r="L27" s="14">
        <f>C27*C25</f>
        <v>626.4</v>
      </c>
      <c r="M27" s="1">
        <f>E27*C25</f>
        <v>1093.5999999999999</v>
      </c>
      <c r="N27" s="1">
        <f>IF(D27,L27/D27,0)</f>
        <v>55.189427312775329</v>
      </c>
      <c r="O27" s="15">
        <f>L27-N27</f>
        <v>571.21057268722461</v>
      </c>
      <c r="P27" s="14">
        <f>IF(AND(F27&lt;&gt;0,C25&lt;&gt;0),O27/M27*F27/IF(G27,G27,1),0)</f>
        <v>174.97763519588537</v>
      </c>
      <c r="Q27" s="1">
        <f>SUM(L27:L31)</f>
        <v>813.3</v>
      </c>
      <c r="R27" s="15">
        <f>N27+Q28</f>
        <v>183.43495241612644</v>
      </c>
      <c r="S27" s="14">
        <f>N27+H27*O27</f>
        <v>55.189427312775329</v>
      </c>
      <c r="T27" s="1">
        <f>IF(AND(F27&lt;&gt;0,C25&lt;&gt;0),(1-H27)*O27/M27*F27/IF(G27,G27,1),0)</f>
        <v>174.97763519588537</v>
      </c>
      <c r="U27" s="1">
        <f>SUM(L27:L31)</f>
        <v>813.3</v>
      </c>
      <c r="V27" s="1">
        <f>S27+U28</f>
        <v>183.43495241612644</v>
      </c>
    </row>
    <row r="28" spans="1:22">
      <c r="A28" s="47"/>
      <c r="B28" s="27">
        <v>1</v>
      </c>
      <c r="C28" s="5">
        <v>186.9</v>
      </c>
      <c r="D28" s="1">
        <v>8.65</v>
      </c>
      <c r="E28" s="1">
        <v>142.80000000000001</v>
      </c>
      <c r="F28" s="1">
        <v>426</v>
      </c>
      <c r="G28" s="5">
        <v>1</v>
      </c>
      <c r="H28" s="21"/>
      <c r="I28" s="30" t="s">
        <v>190</v>
      </c>
      <c r="J28" s="30"/>
      <c r="K28" s="30"/>
      <c r="L28" s="14">
        <f>C28</f>
        <v>186.9</v>
      </c>
      <c r="M28" s="1">
        <f>E28</f>
        <v>142.80000000000001</v>
      </c>
      <c r="N28" s="1">
        <f>IF(D28,L28/D28,0)</f>
        <v>21.606936416184972</v>
      </c>
      <c r="O28" s="15">
        <f>L28-N28</f>
        <v>165.29306358381504</v>
      </c>
      <c r="P28" s="14">
        <f t="shared" ref="P28:P31" si="6">IF(F28,O28/M28*F28/IF(G28,G28,1),0)</f>
        <v>493.10115606936421</v>
      </c>
      <c r="Q28" s="1">
        <f>IF(F28,SUM(L28:L31)-P27*M28/F28*IF(G28,G28,1),0)</f>
        <v>128.2455251033511</v>
      </c>
      <c r="R28" s="15">
        <f>N28+Q29</f>
        <v>21.606936416184972</v>
      </c>
      <c r="S28" s="14">
        <f>N28+H28*O28</f>
        <v>21.606936416184972</v>
      </c>
      <c r="T28" s="1">
        <f>IF(F28,(1-H28)*O28/M28*F28/IF(G28,G28,1),0)</f>
        <v>493.10115606936421</v>
      </c>
      <c r="U28" s="1">
        <f>IF(F28,SUM(L28:L31)-T27*M28/F28*IF(G28,G28,1),0)</f>
        <v>128.2455251033511</v>
      </c>
      <c r="V28" s="1">
        <f>S28+U29</f>
        <v>21.606936416184972</v>
      </c>
    </row>
    <row r="29" spans="1:22">
      <c r="A29" s="47"/>
      <c r="B29" s="27">
        <v>2</v>
      </c>
      <c r="C29" s="5"/>
      <c r="D29" s="1"/>
      <c r="E29" s="1"/>
      <c r="F29" s="1"/>
      <c r="G29" s="5"/>
      <c r="H29" s="21"/>
      <c r="I29" s="30"/>
      <c r="J29" s="30"/>
      <c r="K29" s="30"/>
      <c r="L29" s="14">
        <f>C29</f>
        <v>0</v>
      </c>
      <c r="M29" s="1">
        <f>E29</f>
        <v>0</v>
      </c>
      <c r="N29" s="1">
        <f>IF(D29,L29/D29,0)</f>
        <v>0</v>
      </c>
      <c r="O29" s="15">
        <f>L29-N29</f>
        <v>0</v>
      </c>
      <c r="P29" s="14">
        <f t="shared" si="6"/>
        <v>0</v>
      </c>
      <c r="Q29" s="1">
        <f>SUM(L29:L31)</f>
        <v>0</v>
      </c>
      <c r="R29" s="15">
        <f>N29+Q30</f>
        <v>0</v>
      </c>
      <c r="S29" s="14">
        <f>N29+H29*O29</f>
        <v>0</v>
      </c>
      <c r="T29" s="1">
        <f t="shared" ref="T29:T31" si="7">IF(F29,(1-H29)*O29/M29*F29/IF(G29,G29,1),0)</f>
        <v>0</v>
      </c>
      <c r="U29" s="1">
        <f>SUM(L29:L31)</f>
        <v>0</v>
      </c>
      <c r="V29" s="1">
        <f>S29+U30</f>
        <v>0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/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24"/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265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264</v>
      </c>
    </row>
    <row r="33" spans="1:22">
      <c r="A33" s="47"/>
      <c r="B33" s="27" t="s">
        <v>30</v>
      </c>
      <c r="C33" s="8">
        <v>25</v>
      </c>
      <c r="D33" s="1">
        <f>IF(C33,C33+Q27,"")</f>
        <v>838.3</v>
      </c>
      <c r="E33" s="72">
        <f>IF(C33,C33/D33,"")</f>
        <v>2.9822259334367173E-2</v>
      </c>
      <c r="F33" s="14">
        <f>IF(AND(C33&lt;&gt;"",N25&lt;&gt;""),(M27/F27*E25+M28/F28*D25)/(C33+Q27),"")</f>
        <v>1.2922089664080114</v>
      </c>
      <c r="G33" s="1">
        <f>IF(C33,IF(AND(F27&lt;&gt;0,C25&lt;&gt;0),M28,M28/F28*D25)/(C33+Q28),"")</f>
        <v>0.93183797636957777</v>
      </c>
      <c r="H33" s="1">
        <f>IF(C33,(M29)/(C33+Q29),"")</f>
        <v>0</v>
      </c>
      <c r="I33" s="1">
        <f>IF(C33,(M30)/(C33+Q30),"")</f>
        <v>0</v>
      </c>
      <c r="J33" s="1">
        <f>IF(C33,(M31)/(C33+Q31),"")</f>
        <v>0</v>
      </c>
      <c r="K33" s="14">
        <f>IF(AND(C33&lt;&gt;"",N25&lt;&gt;""),9.8*N25*LN((C33+Q27)/(C33+R27)),"")</f>
        <v>4684.6918510070136</v>
      </c>
      <c r="L33" s="1">
        <f>IF(C33,9.8*F28*LN((C33+Q28)/(C33+R28)),"")</f>
        <v>4969.2310174889308</v>
      </c>
      <c r="M33" s="1">
        <f>IF(C33,9.8*F29*LN((C33+Q29)/(C33+R29)),"")</f>
        <v>0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9653.9228684959453</v>
      </c>
      <c r="Q33" s="1"/>
      <c r="R33" s="1"/>
      <c r="S33" s="1"/>
      <c r="T33" s="32" t="str">
        <f>IF(OR(F33&lt;1,AND(F33="",G33&lt;1)),"起飞推重比不得小于0，空天飞机除外","")</f>
        <v/>
      </c>
      <c r="U33" s="1"/>
      <c r="V33" s="1"/>
    </row>
    <row r="34" spans="1:22">
      <c r="A34" s="33" t="s">
        <v>47</v>
      </c>
      <c r="B34" s="27" t="s">
        <v>31</v>
      </c>
      <c r="C34" s="9"/>
      <c r="D34" s="1" t="str">
        <f>IF(C34,C34+Q27,"")</f>
        <v/>
      </c>
      <c r="E34" s="72" t="str">
        <f t="shared" ref="E34:E36" si="8">IF(C34,C34/D34,"")</f>
        <v/>
      </c>
      <c r="F34" s="14" t="str">
        <f>IF(AND(C34&lt;&gt;"",N25&lt;&gt;""),(M27/F27*E25+M28/F28*D25)/(C34+Q27),"")</f>
        <v/>
      </c>
      <c r="G34" s="1" t="str">
        <f>IF(C34,IF(AND(F27&lt;&gt;0,C25&lt;&gt;0),M28,M28/F28*D25)/(C34+Q28),"")</f>
        <v/>
      </c>
      <c r="H34" s="1" t="str">
        <f>IF(C34,(M29)/(C34+Q29),"")</f>
        <v/>
      </c>
      <c r="I34" s="1" t="str">
        <f>IF(C34,(M30)/(C34+Q30),"")</f>
        <v/>
      </c>
      <c r="J34" s="1" t="str">
        <f>IF(C34,(M31)/(C34+Q31),"")</f>
        <v/>
      </c>
      <c r="K34" s="14" t="str">
        <f>IF(AND(C34&lt;&gt;"",N25&lt;&gt;""),9.8*N25*LN((C34+Q27)/(C34+R27)),"")</f>
        <v/>
      </c>
      <c r="L34" s="1" t="str">
        <f>IF(C34,9.8*F28*LN((C34+Q28)/(C34+R28)),"")</f>
        <v/>
      </c>
      <c r="M34" s="1" t="str">
        <f>IF(C34,9.8*F29*LN((C34+Q29)/(C34+R29)),"")</f>
        <v/>
      </c>
      <c r="N34" s="1" t="str">
        <f>IF(C34,9.8*F30*LN((C34+Q30)/(C34+R30)),"")</f>
        <v/>
      </c>
      <c r="O34" s="1" t="str">
        <f>IF(C34,9.8*F31*LN((C34+Q31)/(C34+R31)),"")</f>
        <v/>
      </c>
      <c r="P34" s="15" t="str">
        <f>IF(C34,SUM(K34:O34),"")</f>
        <v/>
      </c>
      <c r="Q34" s="1"/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36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/>
      <c r="D36" s="1" t="str">
        <f>IF(C36,C36+Q27,"")</f>
        <v/>
      </c>
      <c r="E36" s="72" t="str">
        <f t="shared" si="8"/>
        <v/>
      </c>
      <c r="F36" s="14" t="str">
        <f>IF(AND(C36&lt;&gt;"",N25&lt;&gt;""),(M27/F27*E25+M28/F28*D25)/(C36+Q27),"")</f>
        <v/>
      </c>
      <c r="G36" s="1" t="str">
        <f>IF(C36,IF(AND(F27&lt;&gt;0,C25&lt;&gt;0),M28,M28/F28*D25)/(C36+Q28),"")</f>
        <v/>
      </c>
      <c r="H36" s="1" t="str">
        <f>IF(C36,(M29)/(C36+Q29),"")</f>
        <v/>
      </c>
      <c r="I36" s="1" t="str">
        <f>IF(C36,(M30)/(C36+Q30),"")</f>
        <v/>
      </c>
      <c r="J36" s="1" t="str">
        <f>IF(C36,(M31)/(C36+Q31),"")</f>
        <v/>
      </c>
      <c r="K36" s="14" t="str">
        <f>IF(AND(C36&lt;&gt;"",N25&lt;&gt;""),9.8*N25*LN((C36+Q27)/(C36+R27)),"")</f>
        <v/>
      </c>
      <c r="L36" s="1" t="str">
        <f>IF(C36,9.8*F28*LN((C36+Q28)/(C36+R28)),"")</f>
        <v/>
      </c>
      <c r="M36" s="1" t="str">
        <f>IF(C36,9.8*F29*LN((C36+Q29)/(C36+R29)),"")</f>
        <v/>
      </c>
      <c r="N36" s="1" t="str">
        <f>IF(C36,9.8*F30*LN((C36+Q30)/(C36+R30)),"")</f>
        <v/>
      </c>
      <c r="O36" s="1" t="str">
        <f>IF(C36,9.8*F31*LN((C36+Q31)/(C36+R31)),"")</f>
        <v/>
      </c>
      <c r="P36" s="15" t="str">
        <f>IF(C36,SUM(K36:O36),"")</f>
        <v/>
      </c>
      <c r="Q36" s="17"/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9</v>
      </c>
      <c r="D37" s="12" t="s">
        <v>28</v>
      </c>
      <c r="E37" s="12" t="s">
        <v>266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/>
      <c r="D38" s="1" t="str">
        <f>IF(C38,C38+Q27,"")</f>
        <v/>
      </c>
      <c r="E38" s="72" t="str">
        <f>IF(C38,C38/D38,"")</f>
        <v/>
      </c>
      <c r="F38" s="14" t="str">
        <f>IF(AND(C38&lt;&gt;"",N25&lt;&gt;""),(M27/F27*E25+M28/F28*D25)/(C38+U27),"")</f>
        <v/>
      </c>
      <c r="G38" s="1" t="str">
        <f>IF(C38,IF(AND(F27&lt;&gt;0,C25&lt;&gt;0),M28,M28/F28*D25)/(C38+U28),"")</f>
        <v/>
      </c>
      <c r="H38" s="1" t="str">
        <f>IF(C38,(M29)/(C38+U29),"")</f>
        <v/>
      </c>
      <c r="I38" s="1" t="str">
        <f>IF(C38,(M30)/(C38+U30),"")</f>
        <v/>
      </c>
      <c r="J38" s="1" t="str">
        <f>IF(C38,(M31)/(C38+U31),"")</f>
        <v/>
      </c>
      <c r="K38" s="14" t="str">
        <f>IF(AND(C38&lt;&gt;"",N25&lt;&gt;""),9.8*N25*LN((C38+U27)/(C38+V27)),"")</f>
        <v/>
      </c>
      <c r="L38" s="1" t="str">
        <f>IF(C38,9.8*F28*LN((C38+U28)/(C38+V28)),"")</f>
        <v/>
      </c>
      <c r="M38" s="1" t="str">
        <f>IF(C38,9.8*F29*LN((C38+U29)/(C38+V29)),"")</f>
        <v/>
      </c>
      <c r="N38" s="1" t="str">
        <f>IF(C38,9.8*F30*LN((C38+U30)/(C38+V30)),"")</f>
        <v/>
      </c>
      <c r="O38" s="1" t="str">
        <f>IF(C38,9.8*F31*LN((C38+U31)/(C38+V31)),"")</f>
        <v/>
      </c>
      <c r="P38" s="15" t="str">
        <f>IF(C38,SUM(K38:O38),"")</f>
        <v/>
      </c>
      <c r="Q38" s="1"/>
      <c r="R38" s="1"/>
      <c r="S38" s="1"/>
      <c r="T38" s="32" t="str">
        <f>IF(OR(F38&lt;1,AND(F38="",G38&lt;1)),"起飞推重比不得小于0，空天飞机除外","")</f>
        <v/>
      </c>
      <c r="U38" s="1"/>
      <c r="V38" s="1"/>
    </row>
    <row r="39" spans="1:22">
      <c r="A39" s="47"/>
      <c r="B39" s="27" t="s">
        <v>31</v>
      </c>
      <c r="C39" s="9"/>
      <c r="D39" s="1" t="str">
        <f>IF(C39,C39+Q27,"")</f>
        <v/>
      </c>
      <c r="E39" s="72" t="str">
        <f t="shared" ref="E39:E41" si="10">IF(C39,C39/D39,"")</f>
        <v/>
      </c>
      <c r="F39" s="14" t="str">
        <f>IF(AND(C39&lt;&gt;"",N25&lt;&gt;""),(M27/F27*E25+M28/F28*D25)/(C39+U27),"")</f>
        <v/>
      </c>
      <c r="G39" s="1" t="str">
        <f>IF(C39,IF(AND(F27&lt;&gt;0,C25&lt;&gt;0),M28,M28/F28*D25)/(C39+U28),"")</f>
        <v/>
      </c>
      <c r="H39" s="1" t="str">
        <f>IF(C39,(M29)/(C39+U29),"")</f>
        <v/>
      </c>
      <c r="I39" s="1" t="str">
        <f>IF(C39,(M30)/(C39+U30),"")</f>
        <v/>
      </c>
      <c r="J39" s="1" t="str">
        <f>IF(C39,(M31)/(C39+U31),"")</f>
        <v/>
      </c>
      <c r="K39" s="14" t="str">
        <f>IF(AND(C39&lt;&gt;"",N25&lt;&gt;""),9.8*N25*LN((C39+U27)/(C39+V27)),"")</f>
        <v/>
      </c>
      <c r="L39" s="1" t="str">
        <f>IF(C39,9.8*F28*LN((C39+U28)/(C39+V28)),"")</f>
        <v/>
      </c>
      <c r="M39" s="1" t="str">
        <f>IF(C39,9.8*F29*LN((C39+U29)/(C39+V29)),"")</f>
        <v/>
      </c>
      <c r="N39" s="1" t="str">
        <f>IF(C39,9.8*F30*LN((C39+U30)/(C39+V30)),"")</f>
        <v/>
      </c>
      <c r="O39" s="1" t="str">
        <f>IF(C39,9.8*F31*LN((C39+U31)/(C39+V31)),"")</f>
        <v/>
      </c>
      <c r="P39" s="15" t="str">
        <f>IF(C39,SUM(K39:O39),"")</f>
        <v/>
      </c>
      <c r="Q39" s="1"/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/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46</v>
      </c>
      <c r="B41" s="49" t="s">
        <v>33</v>
      </c>
      <c r="C41" s="50"/>
      <c r="D41" s="25" t="str">
        <f>IF(C41,C41+Q27,"")</f>
        <v/>
      </c>
      <c r="E41" s="73" t="str">
        <f t="shared" si="10"/>
        <v/>
      </c>
      <c r="F41" s="70" t="str">
        <f>IF(AND(C41&lt;&gt;"",N25&lt;&gt;""),(M27/F27*E25+M28/F28*D25)/(C41+U27),"")</f>
        <v/>
      </c>
      <c r="G41" s="25" t="str">
        <f>IF(C41,IF(AND(F27&lt;&gt;0,C25&lt;&gt;0),M28,M28/F28*D25)/(C41+U28),"")</f>
        <v/>
      </c>
      <c r="H41" s="25" t="str">
        <f>IF(C41,(M29)/(C41+U29),"")</f>
        <v/>
      </c>
      <c r="I41" s="25" t="str">
        <f>IF(C41,(M30)/(C41+U30),"")</f>
        <v/>
      </c>
      <c r="J41" s="25" t="str">
        <f>IF(C41,(M31)/(C41+U31),"")</f>
        <v/>
      </c>
      <c r="K41" s="70" t="str">
        <f>IF(AND(C41&lt;&gt;"",N25&lt;&gt;""),9.8*N25*LN((C41+U27)/(C41+V27)),"")</f>
        <v/>
      </c>
      <c r="L41" s="25" t="str">
        <f>IF(C41,9.8*F28*LN((C41+U28)/(C41+V28)),"")</f>
        <v/>
      </c>
      <c r="M41" s="25" t="str">
        <f>IF(C41,9.8*F29*LN((C41+U29)/(C41+V29)),"")</f>
        <v/>
      </c>
      <c r="N41" s="25" t="str">
        <f>IF(C41,9.8*F30*LN((C41+U30)/(C41+V30)),"")</f>
        <v/>
      </c>
      <c r="O41" s="25" t="str">
        <f>IF(C41,9.8*F31*LN((C41+U31)/(C41+V31)),"")</f>
        <v/>
      </c>
      <c r="P41" s="71" t="str">
        <f>IF(C41,SUM(K41:O41),"")</f>
        <v/>
      </c>
      <c r="Q41" s="25"/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175</v>
      </c>
      <c r="B43" s="52"/>
      <c r="C43" s="29" t="s">
        <v>0</v>
      </c>
      <c r="D43" s="90" t="s">
        <v>41</v>
      </c>
      <c r="E43" s="90"/>
      <c r="F43" s="43"/>
      <c r="G43" s="43"/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176</v>
      </c>
      <c r="B44" s="39"/>
      <c r="C44" s="2">
        <v>4</v>
      </c>
      <c r="D44" s="2">
        <v>300</v>
      </c>
      <c r="E44" s="2">
        <v>300</v>
      </c>
      <c r="F44" s="41"/>
      <c r="G44" s="42"/>
      <c r="H44" s="42"/>
      <c r="I44" s="24" t="s">
        <v>193</v>
      </c>
      <c r="J44" s="24"/>
      <c r="K44" s="24"/>
      <c r="L44" s="55">
        <f>IFERROR(IF(AND(F46&lt;&gt;0,C44&lt;&gt;0),M46/F46*E44+M47/F47*D44,M47/F47*D44),0)</f>
        <v>734.50746268656712</v>
      </c>
      <c r="M44" s="53" t="s">
        <v>45</v>
      </c>
      <c r="N44" s="17">
        <f>IF(AND(F46&lt;&gt;0,C44&lt;&gt;0),(M46+M47)/(M46/F46+M47/F47),"")</f>
        <v>335</v>
      </c>
      <c r="O44" s="56" t="s">
        <v>46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60</v>
      </c>
      <c r="D45" s="1" t="s">
        <v>61</v>
      </c>
      <c r="E45" s="1" t="s">
        <v>62</v>
      </c>
      <c r="F45" s="1" t="s">
        <v>63</v>
      </c>
      <c r="G45" s="1" t="s">
        <v>64</v>
      </c>
      <c r="H45" s="1" t="s">
        <v>65</v>
      </c>
      <c r="I45" s="60" t="s">
        <v>204</v>
      </c>
      <c r="J45" s="24"/>
      <c r="K45" s="24"/>
      <c r="L45" s="11" t="s">
        <v>6</v>
      </c>
      <c r="M45" s="12" t="s">
        <v>69</v>
      </c>
      <c r="N45" s="12" t="s">
        <v>15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16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>
        <v>79.25</v>
      </c>
      <c r="D46" s="4">
        <v>11.24</v>
      </c>
      <c r="E46" s="4">
        <v>136.69999999999999</v>
      </c>
      <c r="F46" s="4">
        <v>335</v>
      </c>
      <c r="G46" s="19"/>
      <c r="H46" s="20"/>
      <c r="I46" s="24" t="s">
        <v>194</v>
      </c>
      <c r="J46" s="24"/>
      <c r="K46" s="24"/>
      <c r="L46" s="14">
        <f>C46*C44</f>
        <v>317</v>
      </c>
      <c r="M46" s="1">
        <f>E46*C44</f>
        <v>546.79999999999995</v>
      </c>
      <c r="N46" s="1">
        <f>IF(D46,L46/D46,0)</f>
        <v>28.202846975088967</v>
      </c>
      <c r="O46" s="15">
        <f>L46-N46</f>
        <v>288.79715302491104</v>
      </c>
      <c r="P46" s="14">
        <f>IF(AND(F46&lt;&gt;0,C44&lt;&gt;0),O46/M46*F46/IF(G46,G46,1),0)</f>
        <v>176.93314971350622</v>
      </c>
      <c r="Q46" s="1">
        <f>SUM(L46:L50)</f>
        <v>567.5</v>
      </c>
      <c r="R46" s="15">
        <f>N46+Q47</f>
        <v>145.85615658362988</v>
      </c>
      <c r="S46" s="14">
        <f>N46+H46*O46</f>
        <v>28.202846975088967</v>
      </c>
      <c r="T46" s="1">
        <f>IF(AND(F46&lt;&gt;0,C44&lt;&gt;0),(1-H46)*O46/M46*F46/IF(G46,G46,1),0)</f>
        <v>176.93314971350622</v>
      </c>
      <c r="U46" s="1">
        <f>SUM(L46:L50)</f>
        <v>567.5</v>
      </c>
      <c r="V46" s="1">
        <f>S46+U47</f>
        <v>145.85615658362988</v>
      </c>
    </row>
    <row r="47" spans="1:22">
      <c r="A47" s="47"/>
      <c r="B47" s="27">
        <v>1</v>
      </c>
      <c r="C47" s="5">
        <v>157.5</v>
      </c>
      <c r="D47" s="1">
        <v>10.94</v>
      </c>
      <c r="E47" s="1">
        <v>273.39999999999998</v>
      </c>
      <c r="F47" s="1">
        <v>335</v>
      </c>
      <c r="G47" s="5">
        <v>0.92</v>
      </c>
      <c r="H47" s="21"/>
      <c r="I47" s="30" t="s">
        <v>209</v>
      </c>
      <c r="J47" s="30"/>
      <c r="K47" s="30"/>
      <c r="L47" s="14">
        <f>C47</f>
        <v>157.5</v>
      </c>
      <c r="M47" s="1">
        <f>E47</f>
        <v>273.39999999999998</v>
      </c>
      <c r="N47" s="1">
        <f>IF(D47,L47/D47,0)</f>
        <v>14.396709323583181</v>
      </c>
      <c r="O47" s="15">
        <f>L47-N47</f>
        <v>143.1032906764168</v>
      </c>
      <c r="P47" s="14">
        <f t="shared" ref="P47:P50" si="12">IF(F47,O47/M47*F47/IF(G47,G47,1),0)</f>
        <v>190.59350202203981</v>
      </c>
      <c r="Q47" s="1">
        <f>IF(F47,SUM(L47:L50)-P46*M47/F47*IF(G47,G47,1),0)</f>
        <v>117.65330960854092</v>
      </c>
      <c r="R47" s="15">
        <f>N47+Q48</f>
        <v>107.39670932358318</v>
      </c>
      <c r="S47" s="14">
        <f>N47+H47*O47</f>
        <v>14.396709323583181</v>
      </c>
      <c r="T47" s="1">
        <f>IF(F47,(1-H47)*O47/M47*F47/IF(G47,G47,1),0)</f>
        <v>190.59350202203981</v>
      </c>
      <c r="U47" s="1">
        <f>IF(F47,SUM(L47:L50)-T46*M47/F47*IF(G47,G47,1),0)</f>
        <v>117.65330960854092</v>
      </c>
      <c r="V47" s="1">
        <f>S47+U48</f>
        <v>107.39670932358318</v>
      </c>
    </row>
    <row r="48" spans="1:22">
      <c r="A48" s="47"/>
      <c r="B48" s="27">
        <v>2</v>
      </c>
      <c r="C48" s="5">
        <v>93</v>
      </c>
      <c r="D48" s="1">
        <v>14.2</v>
      </c>
      <c r="E48" s="1">
        <v>73.849999999999994</v>
      </c>
      <c r="F48" s="1">
        <v>342</v>
      </c>
      <c r="G48" s="5"/>
      <c r="H48" s="21"/>
      <c r="I48" s="30" t="s">
        <v>208</v>
      </c>
      <c r="J48" s="30"/>
      <c r="K48" s="30"/>
      <c r="L48" s="14">
        <f>C48</f>
        <v>93</v>
      </c>
      <c r="M48" s="1">
        <f>E48</f>
        <v>73.849999999999994</v>
      </c>
      <c r="N48" s="1">
        <f>IF(D48,L48/D48,0)</f>
        <v>6.5492957746478879</v>
      </c>
      <c r="O48" s="15">
        <f>L48-N48</f>
        <v>86.450704225352112</v>
      </c>
      <c r="P48" s="14">
        <f t="shared" si="12"/>
        <v>400.35397217427794</v>
      </c>
      <c r="Q48" s="1">
        <f>SUM(L48:L50)</f>
        <v>93</v>
      </c>
      <c r="R48" s="15">
        <f>N48+Q49</f>
        <v>6.5492957746478879</v>
      </c>
      <c r="S48" s="14">
        <f>N48+H48*O48</f>
        <v>6.5492957746478879</v>
      </c>
      <c r="T48" s="1">
        <f t="shared" ref="T48:T50" si="13">IF(F48,(1-H48)*O48/M48*F48/IF(G48,G48,1),0)</f>
        <v>400.35397217427794</v>
      </c>
      <c r="U48" s="1">
        <f>SUM(L48:L50)</f>
        <v>93</v>
      </c>
      <c r="V48" s="1">
        <f>S48+U49</f>
        <v>6.5492957746478879</v>
      </c>
    </row>
    <row r="49" spans="1:23">
      <c r="A49" s="33" t="s">
        <v>45</v>
      </c>
      <c r="B49" s="27">
        <v>3</v>
      </c>
      <c r="C49" s="5"/>
      <c r="D49" s="1"/>
      <c r="E49" s="1"/>
      <c r="F49" s="1"/>
      <c r="G49" s="5"/>
      <c r="H49" s="21"/>
      <c r="I49" s="30"/>
      <c r="J49" s="30"/>
      <c r="K49" s="30"/>
      <c r="L49" s="14">
        <f>C49</f>
        <v>0</v>
      </c>
      <c r="M49" s="1">
        <f>E49</f>
        <v>0</v>
      </c>
      <c r="N49" s="1">
        <f>IF(D49,L49/D49,0)</f>
        <v>0</v>
      </c>
      <c r="O49" s="15">
        <f>L49-N49</f>
        <v>0</v>
      </c>
      <c r="P49" s="14">
        <f t="shared" si="12"/>
        <v>0</v>
      </c>
      <c r="Q49" s="1">
        <f>SUM(L49:L50)</f>
        <v>0</v>
      </c>
      <c r="R49" s="15">
        <f>N49+Q50</f>
        <v>0</v>
      </c>
      <c r="S49" s="14">
        <f>N49+H49*O49</f>
        <v>0</v>
      </c>
      <c r="T49" s="1">
        <f t="shared" si="13"/>
        <v>0</v>
      </c>
      <c r="U49" s="1">
        <f>SUM(L49:L50)</f>
        <v>0</v>
      </c>
      <c r="V49" s="1">
        <f>S49+U50</f>
        <v>0</v>
      </c>
    </row>
    <row r="50" spans="1:23" ht="15" thickBot="1">
      <c r="A50" s="40"/>
      <c r="B50" s="28">
        <v>4</v>
      </c>
      <c r="C50" s="6"/>
      <c r="D50" s="7"/>
      <c r="E50" s="7"/>
      <c r="F50" s="7"/>
      <c r="G50" s="22"/>
      <c r="H50" s="23"/>
      <c r="I50" s="24"/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3" ht="15" thickBot="1">
      <c r="A51" s="47"/>
      <c r="B51" s="26" t="s">
        <v>38</v>
      </c>
      <c r="C51" s="1" t="s">
        <v>4</v>
      </c>
      <c r="D51" s="1" t="s">
        <v>28</v>
      </c>
      <c r="E51" s="1" t="s">
        <v>265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264</v>
      </c>
    </row>
    <row r="52" spans="1:23">
      <c r="A52" s="47"/>
      <c r="B52" s="27" t="s">
        <v>30</v>
      </c>
      <c r="C52" s="8">
        <v>14</v>
      </c>
      <c r="D52" s="1">
        <f>IF(C52,C52+Q46,"")</f>
        <v>581.5</v>
      </c>
      <c r="E52" s="72">
        <f>IF(C52,C52/D52,"")</f>
        <v>2.407566638005159E-2</v>
      </c>
      <c r="F52" s="14">
        <f>IF(AND(C52&lt;&gt;"",N44&lt;&gt;""),(M46/F46*E44+M47/F47*D44)/(C52+Q46),"")</f>
        <v>1.2631254732357131</v>
      </c>
      <c r="G52" s="1">
        <f>IF(C52,IF(AND(F46&lt;&gt;0,C44&lt;&gt;0),M47,M47/F47*D44)/(C52+Q47),"")</f>
        <v>2.0766663657216813</v>
      </c>
      <c r="H52" s="1">
        <f>IF(C52,(M48)/(C52+Q48),"")</f>
        <v>0.69018691588785042</v>
      </c>
      <c r="I52" s="1">
        <f>IF(C52,(M49)/(C52+Q49),"")</f>
        <v>0</v>
      </c>
      <c r="J52" s="1">
        <f>IF(C52,(M50)/(C52+Q50),"")</f>
        <v>0</v>
      </c>
      <c r="K52" s="14">
        <f>IF(AND(C52&lt;&gt;"",N44&lt;&gt;""),9.8*N44*LN((C52+Q46)/(C52+R46)),"")</f>
        <v>4239.4580001481345</v>
      </c>
      <c r="L52" s="1">
        <f>IF(C52,9.8*F47*LN((C52+Q47)/(C52+R47)),"")</f>
        <v>266.27839421800962</v>
      </c>
      <c r="M52" s="1">
        <f>IF(C52,9.8*F48*LN((C52+Q48)/(C52+R48)),"")</f>
        <v>5530.1472494452291</v>
      </c>
      <c r="N52" s="1">
        <f>IF(C52,9.8*F49*LN((C52+Q49)/(C52+R49)),"")</f>
        <v>0</v>
      </c>
      <c r="O52" s="1">
        <f>IF(C52,9.8*F50*LN((C52+Q50)/(C52+R50)),"")</f>
        <v>0</v>
      </c>
      <c r="P52" s="15">
        <f>IF(C52,SUM(K52:O52),"")</f>
        <v>10035.883643811372</v>
      </c>
      <c r="Q52" s="1"/>
      <c r="R52" s="1"/>
      <c r="S52" s="1"/>
      <c r="T52" s="32" t="str">
        <f>IF(OR(F52&lt;1,AND(F52="",G52&lt;1)),"起飞推重比不得小于0，空天飞机除外","")</f>
        <v/>
      </c>
      <c r="U52" s="1"/>
      <c r="V52" s="1"/>
    </row>
    <row r="53" spans="1:23">
      <c r="A53" s="33" t="s">
        <v>47</v>
      </c>
      <c r="B53" s="27" t="s">
        <v>31</v>
      </c>
      <c r="C53" s="9"/>
      <c r="D53" s="1" t="str">
        <f>IF(C53,C53+Q46,"")</f>
        <v/>
      </c>
      <c r="E53" s="72" t="str">
        <f t="shared" ref="E53:E55" si="14">IF(C53,C53/D53,"")</f>
        <v/>
      </c>
      <c r="F53" s="14" t="str">
        <f>IF(AND(C53&lt;&gt;"",N44&lt;&gt;""),(M46/F46*E44+M47/F47*D44)/(C53+Q46),"")</f>
        <v/>
      </c>
      <c r="G53" s="1" t="str">
        <f>IF(C53,IF(AND(F46&lt;&gt;0,C44&lt;&gt;0),M47,M47/F47*D44)/(C53+Q47),"")</f>
        <v/>
      </c>
      <c r="H53" s="1" t="str">
        <f>IF(C53,(M48)/(C53+Q48),"")</f>
        <v/>
      </c>
      <c r="I53" s="1" t="str">
        <f>IF(C53,(M49)/(C53+Q49),"")</f>
        <v/>
      </c>
      <c r="J53" s="1" t="str">
        <f>IF(C53,(M50)/(C53+Q50),"")</f>
        <v/>
      </c>
      <c r="K53" s="14" t="str">
        <f>IF(AND(C53&lt;&gt;"",N44&lt;&gt;""),9.8*N44*LN((C53+Q46)/(C53+R46)),"")</f>
        <v/>
      </c>
      <c r="L53" s="1" t="str">
        <f>IF(C53,9.8*F47*LN((C53+Q47)/(C53+R47)),"")</f>
        <v/>
      </c>
      <c r="M53" s="1" t="str">
        <f>IF(C53,9.8*F48*LN((C53+Q48)/(C53+R48)),"")</f>
        <v/>
      </c>
      <c r="N53" s="1" t="str">
        <f>IF(C53,9.8*F49*LN((C53+Q49)/(C53+R49)),"")</f>
        <v/>
      </c>
      <c r="O53" s="1" t="str">
        <f>IF(C53,9.8*F50*LN((C53+Q50)/(C53+R50)),"")</f>
        <v/>
      </c>
      <c r="P53" s="15" t="str">
        <f>IF(C53,SUM(K53:O53),"")</f>
        <v/>
      </c>
      <c r="Q53" s="1"/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  <c r="W53" s="74"/>
    </row>
    <row r="54" spans="1:23">
      <c r="A54" s="40"/>
      <c r="B54" s="27" t="s">
        <v>36</v>
      </c>
      <c r="C54" s="9"/>
      <c r="D54" s="1" t="str">
        <f>IF(C54,C54+Q46,"")</f>
        <v/>
      </c>
      <c r="E54" s="72" t="str">
        <f t="shared" si="14"/>
        <v/>
      </c>
      <c r="F54" s="14" t="str">
        <f>IF(AND(C54&lt;&gt;"",N44&lt;&gt;""),(M46/F46*E44+M47/F47*D44)/(C54+Q46),"")</f>
        <v/>
      </c>
      <c r="G54" s="1" t="str">
        <f>IF(C54,IF(AND(F46&lt;&gt;0,C44&lt;&gt;0),M47,M47/F47*D44)/(C54+Q47),"")</f>
        <v/>
      </c>
      <c r="H54" s="1" t="str">
        <f>IF(C54,(M48)/(C54+Q48),"")</f>
        <v/>
      </c>
      <c r="I54" s="1" t="str">
        <f>IF(C54,(M49)/(C54+Q49),"")</f>
        <v/>
      </c>
      <c r="J54" s="1" t="str">
        <f>IF(C54,(M50)/(C54+Q50),"")</f>
        <v/>
      </c>
      <c r="K54" s="14" t="str">
        <f>IF(AND(C54&lt;&gt;"",N44&lt;&gt;""),9.8*N44*LN((C54+Q46)/(C54+R46)),"")</f>
        <v/>
      </c>
      <c r="L54" s="1" t="str">
        <f>IF(C54,9.8*F47*LN((C54+Q47)/(C54+R47)),"")</f>
        <v/>
      </c>
      <c r="M54" s="1" t="str">
        <f>IF(C54,9.8*F48*LN((C54+Q48)/(C54+R48)),"")</f>
        <v/>
      </c>
      <c r="N54" s="1" t="str">
        <f>IF(C54,9.8*F49*LN((C54+Q49)/(C54+R49)),"")</f>
        <v/>
      </c>
      <c r="O54" s="1" t="str">
        <f>IF(C54,9.8*F50*LN((C54+Q50)/(C54+R50)),"")</f>
        <v/>
      </c>
      <c r="P54" s="15" t="str">
        <f>IF(C54,SUM(K54:O54),"")</f>
        <v/>
      </c>
      <c r="Q54" s="1"/>
      <c r="R54" s="1"/>
      <c r="S54" s="1"/>
      <c r="T54" s="32" t="str">
        <f t="shared" si="15"/>
        <v/>
      </c>
      <c r="U54" s="1"/>
      <c r="V54" s="1"/>
    </row>
    <row r="55" spans="1:23" ht="15" thickBot="1">
      <c r="A55" s="47"/>
      <c r="B55" s="28" t="s">
        <v>5</v>
      </c>
      <c r="C55" s="10">
        <v>5.5</v>
      </c>
      <c r="D55" s="1">
        <f>IF(C55,C55+Q46,"")</f>
        <v>573</v>
      </c>
      <c r="E55" s="72">
        <f t="shared" si="14"/>
        <v>9.5986038394415361E-3</v>
      </c>
      <c r="F55" s="14">
        <f>IF(AND(C55&lt;&gt;"",N44&lt;&gt;""),(M46/F46*E44+M47/F47*D44)/(C55+Q46),"")</f>
        <v>1.2818629366257717</v>
      </c>
      <c r="G55" s="1">
        <f>IF(C55,IF(AND(F46&lt;&gt;0,C44&lt;&gt;0),M47,M47/F47*D44)/(C55+Q47),"")</f>
        <v>2.2199971796863438</v>
      </c>
      <c r="H55" s="1">
        <f>IF(C55,(M48)/(C55+Q48),"")</f>
        <v>0.74974619289340094</v>
      </c>
      <c r="I55" s="1">
        <f>IF(C55,(M49)/(C55+Q49),"")</f>
        <v>0</v>
      </c>
      <c r="J55" s="1">
        <f>IF(C55,(M50)/(C55+Q50),"")</f>
        <v>0</v>
      </c>
      <c r="K55" s="14">
        <f>IF(AND(C55&lt;&gt;"",N44&lt;&gt;""),9.8*N44*LN((C55+Q46)/(C55+R46)),"")</f>
        <v>4370.4937640629996</v>
      </c>
      <c r="L55" s="1">
        <f>IF(C55,9.8*F47*LN((C55+Q47)/(C55+R47)),"")</f>
        <v>285.47876373304956</v>
      </c>
      <c r="M55" s="1">
        <f>IF(C55,9.8*F48*LN((C55+Q48)/(C55+R48)),"")</f>
        <v>7041.8802923528401</v>
      </c>
      <c r="N55" s="1">
        <f>IF(C55,9.8*F49*LN((C55+Q49)/(C55+R49)),"")</f>
        <v>0</v>
      </c>
      <c r="O55" s="1">
        <f>IF(C55,9.8*F50*LN((C55+Q50)/(C55+R50)),"")</f>
        <v>0</v>
      </c>
      <c r="P55" s="15">
        <f>IF(C55,SUM(K55:O55),"")</f>
        <v>11697.852820148888</v>
      </c>
      <c r="Q55" s="17" t="s">
        <v>207</v>
      </c>
      <c r="R55" s="17"/>
      <c r="S55" s="17"/>
      <c r="T55" s="32" t="str">
        <f t="shared" si="15"/>
        <v/>
      </c>
      <c r="U55" s="1"/>
      <c r="V55" s="1"/>
    </row>
    <row r="56" spans="1:23" ht="15" thickBot="1">
      <c r="A56" s="33" t="s">
        <v>45</v>
      </c>
      <c r="B56" s="26" t="s">
        <v>37</v>
      </c>
      <c r="C56" s="1" t="s">
        <v>9</v>
      </c>
      <c r="D56" s="12" t="s">
        <v>28</v>
      </c>
      <c r="E56" s="12" t="s">
        <v>266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3">
      <c r="A57" s="40"/>
      <c r="B57" s="27" t="s">
        <v>30</v>
      </c>
      <c r="C57" s="8"/>
      <c r="D57" s="1" t="str">
        <f>IF(C57,C57+Q46,"")</f>
        <v/>
      </c>
      <c r="E57" s="72" t="str">
        <f>IF(C57,C57/D57,"")</f>
        <v/>
      </c>
      <c r="F57" s="14" t="str">
        <f>IF(AND(C57&lt;&gt;"",N44&lt;&gt;""),(M46/F46*E44+M47/F47*D44)/(C57+U46),"")</f>
        <v/>
      </c>
      <c r="G57" s="1" t="str">
        <f>IF(C57,IF(AND(F46&lt;&gt;0,C44&lt;&gt;0),M47,M47/F47*D44)/(C57+U47),"")</f>
        <v/>
      </c>
      <c r="H57" s="1" t="str">
        <f>IF(C57,(M48)/(C57+U48),"")</f>
        <v/>
      </c>
      <c r="I57" s="1" t="str">
        <f>IF(C57,(M49)/(C57+U49),"")</f>
        <v/>
      </c>
      <c r="J57" s="1" t="str">
        <f>IF(C57,(M50)/(C57+U50),"")</f>
        <v/>
      </c>
      <c r="K57" s="14" t="str">
        <f>IF(AND(C57&lt;&gt;"",N44&lt;&gt;""),9.8*N44*LN((C57+U46)/(C57+V46)),"")</f>
        <v/>
      </c>
      <c r="L57" s="1" t="str">
        <f>IF(C57,9.8*F47*LN((C57+U47)/(C57+V47)),"")</f>
        <v/>
      </c>
      <c r="M57" s="1" t="str">
        <f>IF(C57,9.8*F48*LN((C57+U48)/(C57+V48)),"")</f>
        <v/>
      </c>
      <c r="N57" s="1" t="str">
        <f>IF(C57,9.8*F49*LN((C57+U49)/(C57+V49)),"")</f>
        <v/>
      </c>
      <c r="O57" s="1" t="str">
        <f>IF(C57,9.8*F50*LN((C57+U50)/(C57+V50)),"")</f>
        <v/>
      </c>
      <c r="P57" s="15" t="str">
        <f>IF(C57,SUM(K57:O57),"")</f>
        <v/>
      </c>
      <c r="Q57" s="1"/>
      <c r="R57" s="1"/>
      <c r="S57" s="1"/>
      <c r="T57" s="32" t="str">
        <f>IF(OR(F57&lt;1,AND(F57="",G57&lt;1)),"起飞推重比不得小于0，空天飞机除外","")</f>
        <v/>
      </c>
      <c r="U57" s="1"/>
      <c r="V57" s="1"/>
    </row>
    <row r="58" spans="1:23">
      <c r="A58" s="47"/>
      <c r="B58" s="27" t="s">
        <v>31</v>
      </c>
      <c r="C58" s="9"/>
      <c r="D58" s="1" t="str">
        <f>IF(C58,C58+Q46,"")</f>
        <v/>
      </c>
      <c r="E58" s="72" t="str">
        <f t="shared" ref="E58:E60" si="16">IF(C58,C58/D58,"")</f>
        <v/>
      </c>
      <c r="F58" s="14" t="str">
        <f>IF(AND(C58&lt;&gt;"",N44&lt;&gt;""),(M46/F46*E44+M47/F47*D44)/(C58+U46),"")</f>
        <v/>
      </c>
      <c r="G58" s="1" t="str">
        <f>IF(C58,IF(AND(F46&lt;&gt;0,C44&lt;&gt;0),M47,M47/F47*D44)/(C58+U47),"")</f>
        <v/>
      </c>
      <c r="H58" s="1" t="str">
        <f>IF(C58,(M48)/(C58+U48),"")</f>
        <v/>
      </c>
      <c r="I58" s="1" t="str">
        <f>IF(C58,(M49)/(C58+U49),"")</f>
        <v/>
      </c>
      <c r="J58" s="1" t="str">
        <f>IF(C58,(M50)/(C58+U50),"")</f>
        <v/>
      </c>
      <c r="K58" s="14" t="str">
        <f>IF(AND(C58&lt;&gt;"",N44&lt;&gt;""),9.8*N44*LN((C58+U46)/(C58+V46)),"")</f>
        <v/>
      </c>
      <c r="L58" s="1" t="str">
        <f>IF(C58,9.8*F47*LN((C58+U47)/(C58+V47)),"")</f>
        <v/>
      </c>
      <c r="M58" s="1" t="str">
        <f>IF(C58,9.8*F48*LN((C58+U48)/(C58+V48)),"")</f>
        <v/>
      </c>
      <c r="N58" s="1" t="str">
        <f>IF(C58,9.8*F49*LN((C58+U49)/(C58+V49)),"")</f>
        <v/>
      </c>
      <c r="O58" s="1" t="str">
        <f>IF(C58,9.8*F50*LN((C58+U50)/(C58+V50)),"")</f>
        <v/>
      </c>
      <c r="P58" s="15" t="str">
        <f>IF(C58,SUM(K58:O58),"")</f>
        <v/>
      </c>
      <c r="Q58" s="1"/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3">
      <c r="A59" s="47"/>
      <c r="B59" s="27" t="s">
        <v>32</v>
      </c>
      <c r="C59" s="9"/>
      <c r="D59" s="1" t="str">
        <f>IF(C59,C59+Q46,"")</f>
        <v/>
      </c>
      <c r="E59" s="72" t="str">
        <f t="shared" si="16"/>
        <v/>
      </c>
      <c r="F59" s="14" t="str">
        <f>IF(AND(C59&lt;&gt;"",N44&lt;&gt;""),(M46/F46*E44+M47/F47*D44)/(C59+U46),"")</f>
        <v/>
      </c>
      <c r="G59" s="1" t="str">
        <f>IF(C59,IF(AND(F46&lt;&gt;0,C44&lt;&gt;0),M47,M47/F47*D44)/(C59+U47),"")</f>
        <v/>
      </c>
      <c r="H59" s="1" t="str">
        <f>IF(C59,(M48)/(C59+U48),"")</f>
        <v/>
      </c>
      <c r="I59" s="1" t="str">
        <f>IF(C59,(M49)/(C59+U49),"")</f>
        <v/>
      </c>
      <c r="J59" s="1" t="str">
        <f>IF(C59,(M50)/(C59+U50),"")</f>
        <v/>
      </c>
      <c r="K59" s="14" t="str">
        <f>IF(AND(C59&lt;&gt;"",N44&lt;&gt;""),9.8*N44*LN((C59+U46)/(C59+V46)),"")</f>
        <v/>
      </c>
      <c r="L59" s="1" t="str">
        <f>IF(C59,9.8*F47*LN((C59+U47)/(C59+V47)),"")</f>
        <v/>
      </c>
      <c r="M59" s="1" t="str">
        <f>IF(C59,9.8*F48*LN((C59+U48)/(C59+V48)),"")</f>
        <v/>
      </c>
      <c r="N59" s="1" t="str">
        <f>IF(C59,9.8*F49*LN((C59+U49)/(C59+V49)),"")</f>
        <v/>
      </c>
      <c r="O59" s="1" t="str">
        <f>IF(C59,9.8*F50*LN((C59+U50)/(C59+V50)),"")</f>
        <v/>
      </c>
      <c r="P59" s="15" t="str">
        <f>IF(C59,SUM(K59:O59),"")</f>
        <v/>
      </c>
      <c r="Q59" s="1"/>
      <c r="R59" s="1"/>
      <c r="S59" s="1"/>
      <c r="T59" s="32" t="str">
        <f t="shared" si="17"/>
        <v/>
      </c>
      <c r="U59" s="1"/>
      <c r="V59" s="1"/>
    </row>
    <row r="60" spans="1:23" ht="15" thickBot="1">
      <c r="A60" s="48" t="s">
        <v>46</v>
      </c>
      <c r="B60" s="49" t="s">
        <v>33</v>
      </c>
      <c r="C60" s="50"/>
      <c r="D60" s="25" t="str">
        <f>IF(C60,C60+Q46,"")</f>
        <v/>
      </c>
      <c r="E60" s="73" t="str">
        <f t="shared" si="16"/>
        <v/>
      </c>
      <c r="F60" s="70" t="str">
        <f>IF(AND(C60&lt;&gt;"",N44&lt;&gt;""),(M46/F46*E44+M47/F47*D44)/(C60+U46),"")</f>
        <v/>
      </c>
      <c r="G60" s="25" t="str">
        <f>IF(C60,IF(AND(F46&lt;&gt;0,C44&lt;&gt;0),M47,M47/F47*D44)/(C60+U47),"")</f>
        <v/>
      </c>
      <c r="H60" s="25" t="str">
        <f>IF(C60,(M48)/(C60+U48),"")</f>
        <v/>
      </c>
      <c r="I60" s="25" t="str">
        <f>IF(C60,(M49)/(C60+U49),"")</f>
        <v/>
      </c>
      <c r="J60" s="25" t="str">
        <f>IF(C60,(M50)/(C60+U50),"")</f>
        <v/>
      </c>
      <c r="K60" s="70" t="str">
        <f>IF(AND(C60&lt;&gt;"",N44&lt;&gt;""),9.8*N44*LN((C60+U46)/(C60+V46)),"")</f>
        <v/>
      </c>
      <c r="L60" s="25" t="str">
        <f>IF(C60,9.8*F47*LN((C60+U47)/(C60+V47)),"")</f>
        <v/>
      </c>
      <c r="M60" s="25" t="str">
        <f>IF(C60,9.8*F48*LN((C60+U48)/(C60+V48)),"")</f>
        <v/>
      </c>
      <c r="N60" s="25" t="str">
        <f>IF(C60,9.8*F49*LN((C60+U49)/(C60+V49)),"")</f>
        <v/>
      </c>
      <c r="O60" s="25" t="str">
        <f>IF(C60,9.8*F50*LN((C60+U50)/(C60+V50)),"")</f>
        <v/>
      </c>
      <c r="P60" s="71" t="str">
        <f>IF(C60,SUM(K60:O60),"")</f>
        <v/>
      </c>
      <c r="Q60" s="25"/>
      <c r="R60" s="25"/>
      <c r="S60" s="25"/>
      <c r="T60" s="51" t="str">
        <f t="shared" si="17"/>
        <v/>
      </c>
      <c r="U60" s="25"/>
      <c r="V60" s="25"/>
    </row>
    <row r="61" spans="1:23" ht="15" thickBot="1"/>
    <row r="62" spans="1:23" ht="15" thickBot="1">
      <c r="A62" s="52" t="s">
        <v>177</v>
      </c>
      <c r="B62" s="52"/>
      <c r="C62" s="29" t="s">
        <v>0</v>
      </c>
      <c r="D62" s="90" t="s">
        <v>41</v>
      </c>
      <c r="E62" s="90"/>
      <c r="F62" s="43"/>
      <c r="G62" s="43"/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3" ht="15" thickBot="1">
      <c r="A63" s="40" t="s">
        <v>178</v>
      </c>
      <c r="B63" s="39"/>
      <c r="C63" s="2">
        <v>4</v>
      </c>
      <c r="D63" s="2">
        <v>300</v>
      </c>
      <c r="E63" s="2">
        <v>300</v>
      </c>
      <c r="F63" s="41"/>
      <c r="G63" s="42"/>
      <c r="H63" s="42"/>
      <c r="I63" s="24" t="s">
        <v>217</v>
      </c>
      <c r="J63" s="24"/>
      <c r="K63" s="24"/>
      <c r="L63" s="55">
        <f>IFERROR(IF(AND(F65&lt;&gt;0,C63&lt;&gt;0),M65/F65*E63+M66/F66*D63,M66/F66*D63),0)</f>
        <v>734.50746268656712</v>
      </c>
      <c r="M63" s="53" t="s">
        <v>45</v>
      </c>
      <c r="N63" s="17">
        <f>IF(AND(F65&lt;&gt;0,C63&lt;&gt;0),(M65+M66)/(M65/F65+M66/F66),"")</f>
        <v>335</v>
      </c>
      <c r="O63" s="56" t="s">
        <v>46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3" ht="15" thickBot="1">
      <c r="A64" s="33" t="s">
        <v>45</v>
      </c>
      <c r="B64" s="26" t="s">
        <v>39</v>
      </c>
      <c r="C64" s="1" t="s">
        <v>1</v>
      </c>
      <c r="D64" s="1" t="s">
        <v>2</v>
      </c>
      <c r="E64" s="1" t="s">
        <v>7</v>
      </c>
      <c r="F64" s="1" t="s">
        <v>8</v>
      </c>
      <c r="G64" s="1" t="s">
        <v>43</v>
      </c>
      <c r="H64" s="1" t="s">
        <v>44</v>
      </c>
      <c r="I64" s="60" t="s">
        <v>203</v>
      </c>
      <c r="J64" s="24"/>
      <c r="K64" s="24"/>
      <c r="L64" s="11" t="s">
        <v>6</v>
      </c>
      <c r="M64" s="12" t="s">
        <v>69</v>
      </c>
      <c r="N64" s="12" t="s">
        <v>15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16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>
        <v>79.25</v>
      </c>
      <c r="D65" s="4">
        <v>11.24</v>
      </c>
      <c r="E65" s="4">
        <v>136.69999999999999</v>
      </c>
      <c r="F65" s="4">
        <v>335</v>
      </c>
      <c r="G65" s="19"/>
      <c r="H65" s="20"/>
      <c r="I65" s="24" t="s">
        <v>205</v>
      </c>
      <c r="J65" s="24"/>
      <c r="K65" s="24"/>
      <c r="L65" s="14">
        <f>C65*C63</f>
        <v>317</v>
      </c>
      <c r="M65" s="1">
        <f>E65*C63</f>
        <v>546.79999999999995</v>
      </c>
      <c r="N65" s="1">
        <f>IF(D65,L65/D65,0)</f>
        <v>28.202846975088967</v>
      </c>
      <c r="O65" s="15">
        <f>L65-N65</f>
        <v>288.79715302491104</v>
      </c>
      <c r="P65" s="14">
        <f>IF(AND(F65&lt;&gt;0,C63&lt;&gt;0),O65/M65*F65/IF(G65,G65,1),0)</f>
        <v>176.93314971350622</v>
      </c>
      <c r="Q65" s="1">
        <f>SUM(L65:L69)</f>
        <v>563.79999999999995</v>
      </c>
      <c r="R65" s="15">
        <f>N65+Q66</f>
        <v>131.90385765124554</v>
      </c>
      <c r="S65" s="14">
        <f>N65+H65*O65</f>
        <v>28.202846975088967</v>
      </c>
      <c r="T65" s="1">
        <f>IF(AND(F65&lt;&gt;0,C63&lt;&gt;0),(1-H65)*O65/M65*F65/IF(G65,G65,1),0)</f>
        <v>176.93314971350622</v>
      </c>
      <c r="U65" s="1">
        <f>SUM(L65:L69)</f>
        <v>563.79999999999995</v>
      </c>
      <c r="V65" s="1">
        <f>S65+U66</f>
        <v>131.90385765124554</v>
      </c>
    </row>
    <row r="66" spans="1:22">
      <c r="A66" s="47"/>
      <c r="B66" s="27">
        <v>1</v>
      </c>
      <c r="C66" s="5">
        <v>157.5</v>
      </c>
      <c r="D66" s="1">
        <v>10.94</v>
      </c>
      <c r="E66" s="1">
        <v>273.39999999999998</v>
      </c>
      <c r="F66" s="1">
        <v>335</v>
      </c>
      <c r="G66" s="5">
        <v>0.99099999999999999</v>
      </c>
      <c r="H66" s="21"/>
      <c r="I66" s="30" t="s">
        <v>206</v>
      </c>
      <c r="J66" s="30"/>
      <c r="K66" s="30"/>
      <c r="L66" s="14">
        <f>C66</f>
        <v>157.5</v>
      </c>
      <c r="M66" s="1">
        <f>E66</f>
        <v>273.39999999999998</v>
      </c>
      <c r="N66" s="1">
        <f>IF(D66,L66/D66,0)</f>
        <v>14.396709323583181</v>
      </c>
      <c r="O66" s="15">
        <f>L66-N66</f>
        <v>143.1032906764168</v>
      </c>
      <c r="P66" s="14">
        <f t="shared" ref="P66:P69" si="18">IF(F66,O66/M66*F66/IF(G66,G66,1),0)</f>
        <v>176.93846807293303</v>
      </c>
      <c r="Q66" s="1">
        <f>IF(F66,SUM(L66:L69)-P65*M66/F66*IF(G66,G66,1),0)</f>
        <v>103.70101067615659</v>
      </c>
      <c r="R66" s="15">
        <f>N66+Q67</f>
        <v>103.69670932358318</v>
      </c>
      <c r="S66" s="14">
        <f>N66+H66*O66</f>
        <v>14.396709323583181</v>
      </c>
      <c r="T66" s="1">
        <f>IF(F66,(1-H66)*O66/M66*F66/IF(G66,G66,1),0)</f>
        <v>176.93846807293303</v>
      </c>
      <c r="U66" s="1">
        <f>IF(F66,SUM(L66:L69)-T65*M66/F66*IF(G66,G66,1),0)</f>
        <v>103.70101067615659</v>
      </c>
      <c r="V66" s="1">
        <f>S66+U67</f>
        <v>103.69670932358318</v>
      </c>
    </row>
    <row r="67" spans="1:22">
      <c r="A67" s="47"/>
      <c r="B67" s="27">
        <v>2</v>
      </c>
      <c r="C67" s="5">
        <v>68</v>
      </c>
      <c r="D67" s="1">
        <v>11.72</v>
      </c>
      <c r="E67" s="1">
        <v>73.849999999999994</v>
      </c>
      <c r="F67" s="1">
        <v>342</v>
      </c>
      <c r="G67" s="5"/>
      <c r="H67" s="21"/>
      <c r="I67" s="30" t="s">
        <v>195</v>
      </c>
      <c r="J67" s="30"/>
      <c r="K67" s="30"/>
      <c r="L67" s="14">
        <f>C67</f>
        <v>68</v>
      </c>
      <c r="M67" s="1">
        <f>E67</f>
        <v>73.849999999999994</v>
      </c>
      <c r="N67" s="1">
        <f>IF(D67,L67/D67,0)</f>
        <v>5.8020477815699651</v>
      </c>
      <c r="O67" s="15">
        <f>L67-N67</f>
        <v>62.197952218430032</v>
      </c>
      <c r="P67" s="14">
        <f t="shared" si="18"/>
        <v>288.03926416659544</v>
      </c>
      <c r="Q67" s="1">
        <f>SUM(L67:L69)</f>
        <v>89.3</v>
      </c>
      <c r="R67" s="15">
        <f>N67+Q68</f>
        <v>27.102047781569965</v>
      </c>
      <c r="S67" s="14">
        <f>N67+H67*O67</f>
        <v>5.8020477815699651</v>
      </c>
      <c r="T67" s="1">
        <f t="shared" ref="T67:T69" si="19">IF(F67,(1-H67)*O67/M67*F67/IF(G67,G67,1),0)</f>
        <v>288.03926416659544</v>
      </c>
      <c r="U67" s="1">
        <f>SUM(L67:L69)</f>
        <v>89.3</v>
      </c>
      <c r="V67" s="1">
        <f>S67+U68</f>
        <v>27.102047781569965</v>
      </c>
    </row>
    <row r="68" spans="1:22">
      <c r="A68" s="33" t="s">
        <v>45</v>
      </c>
      <c r="B68" s="27">
        <v>3</v>
      </c>
      <c r="C68" s="5">
        <v>21.3</v>
      </c>
      <c r="D68" s="1">
        <v>6.96</v>
      </c>
      <c r="E68" s="1">
        <v>16.899999999999999</v>
      </c>
      <c r="F68" s="1">
        <v>438</v>
      </c>
      <c r="G68" s="5"/>
      <c r="H68" s="21"/>
      <c r="I68" s="30" t="s">
        <v>215</v>
      </c>
      <c r="J68" s="30"/>
      <c r="K68" s="30"/>
      <c r="L68" s="14">
        <f>C68</f>
        <v>21.3</v>
      </c>
      <c r="M68" s="1">
        <f>E68</f>
        <v>16.899999999999999</v>
      </c>
      <c r="N68" s="1">
        <f>IF(D68,L68/D68,0)</f>
        <v>3.0603448275862069</v>
      </c>
      <c r="O68" s="15">
        <f>L68-N68</f>
        <v>18.239655172413794</v>
      </c>
      <c r="P68" s="14">
        <f t="shared" si="18"/>
        <v>472.72005713119779</v>
      </c>
      <c r="Q68" s="1">
        <f>SUM(L68:L69)</f>
        <v>21.3</v>
      </c>
      <c r="R68" s="15">
        <f>N68+Q69</f>
        <v>3.0603448275862069</v>
      </c>
      <c r="S68" s="14">
        <f>N68+H68*O68</f>
        <v>3.0603448275862069</v>
      </c>
      <c r="T68" s="1">
        <f t="shared" si="19"/>
        <v>472.72005713119779</v>
      </c>
      <c r="U68" s="1">
        <f>SUM(L68:L69)</f>
        <v>21.3</v>
      </c>
      <c r="V68" s="1">
        <f>S68+U69</f>
        <v>3.0603448275862069</v>
      </c>
    </row>
    <row r="69" spans="1:22" ht="15" thickBot="1">
      <c r="A69" s="40"/>
      <c r="B69" s="28">
        <v>4</v>
      </c>
      <c r="C69" s="6"/>
      <c r="D69" s="7"/>
      <c r="E69" s="7"/>
      <c r="F69" s="7"/>
      <c r="G69" s="22"/>
      <c r="H69" s="23"/>
      <c r="I69" s="60"/>
      <c r="J69" s="24"/>
      <c r="K69" s="24"/>
      <c r="L69" s="16">
        <f>C69</f>
        <v>0</v>
      </c>
      <c r="M69" s="17">
        <f>E69</f>
        <v>0</v>
      </c>
      <c r="N69" s="17">
        <f>IF(D69,L69/D69,0)</f>
        <v>0</v>
      </c>
      <c r="O69" s="18">
        <f>L69-N69</f>
        <v>0</v>
      </c>
      <c r="P69" s="14">
        <f t="shared" si="18"/>
        <v>0</v>
      </c>
      <c r="Q69" s="17">
        <f>SUM(L69:L69)</f>
        <v>0</v>
      </c>
      <c r="R69" s="18">
        <f>N69</f>
        <v>0</v>
      </c>
      <c r="S69" s="16">
        <f>N69+H69*O69</f>
        <v>0</v>
      </c>
      <c r="T69" s="17">
        <f t="shared" si="19"/>
        <v>0</v>
      </c>
      <c r="U69" s="17">
        <f>SUM(L69:L69)</f>
        <v>0</v>
      </c>
      <c r="V69" s="17">
        <f>S69</f>
        <v>0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265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264</v>
      </c>
    </row>
    <row r="71" spans="1:22">
      <c r="A71" s="47"/>
      <c r="B71" s="27" t="s">
        <v>30</v>
      </c>
      <c r="C71" s="8">
        <v>18</v>
      </c>
      <c r="D71" s="1">
        <f>IF(C71,C71+Q65,"")</f>
        <v>581.79999999999995</v>
      </c>
      <c r="E71" s="72">
        <f>IF(C71,C71/D71,"")</f>
        <v>3.093846682708835E-2</v>
      </c>
      <c r="F71" s="14">
        <f>IF(AND(C71&lt;&gt;"",N63&lt;&gt;""),(M65/F65*E63+M66/F66*D63)/(C71+Q65),"")</f>
        <v>1.2624741538098438</v>
      </c>
      <c r="G71" s="1">
        <f>IF(C71,IF(AND(F65&lt;&gt;0,C63&lt;&gt;0),M66,M66/F66*D63)/(C71+Q66),"")</f>
        <v>2.2464891497697641</v>
      </c>
      <c r="H71" s="1">
        <f>IF(C71,(M67)/(C71+Q67),"")</f>
        <v>0.68825722273998136</v>
      </c>
      <c r="I71" s="1">
        <f>IF(C71,(M68)/(C71+Q68),"")</f>
        <v>0.43002544529262088</v>
      </c>
      <c r="J71" s="1">
        <f>IF(C71,(M69)/(C71+Q69),"")</f>
        <v>0</v>
      </c>
      <c r="K71" s="14">
        <f>IF(AND(C71&lt;&gt;"",N63&lt;&gt;""),9.8*N63*LN((C71+Q65)/(C71+R65)),"")</f>
        <v>4452.1833469824405</v>
      </c>
      <c r="L71" s="1">
        <f>IF(C71,9.8*F66*LN((C71+Q66)/(C71+R66)),"")</f>
        <v>0.11603510912082433</v>
      </c>
      <c r="M71" s="1">
        <f>IF(C71,9.8*F67*LN((C71+Q67)/(C71+R67)),"")</f>
        <v>2904.8350675864376</v>
      </c>
      <c r="N71" s="1">
        <f>IF(C71,9.8*F68*LN((C71+Q68)/(C71+R68)),"")</f>
        <v>2677.73921845821</v>
      </c>
      <c r="O71" s="1">
        <f>IF(C71,9.8*F69*LN((C71+Q69)/(C71+R69)),"")</f>
        <v>0</v>
      </c>
      <c r="P71" s="15">
        <f>IF(C71,SUM(K71:O71),"")</f>
        <v>10034.87366813621</v>
      </c>
      <c r="Q71" s="1"/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47</v>
      </c>
      <c r="B72" s="27" t="s">
        <v>31</v>
      </c>
      <c r="C72" s="9">
        <v>7</v>
      </c>
      <c r="D72" s="1">
        <f>IF(C72,C72+Q65,"")</f>
        <v>570.79999999999995</v>
      </c>
      <c r="E72" s="72">
        <f t="shared" ref="E72:E74" si="20">IF(C72,C72/D72,"")</f>
        <v>1.2263489838822706E-2</v>
      </c>
      <c r="F72" s="14">
        <f>IF(AND(C72&lt;&gt;"",N63&lt;&gt;""),(M65/F65*E63+M66/F66*D63)/(C72+Q65),"")</f>
        <v>1.286803543599452</v>
      </c>
      <c r="G72" s="1">
        <f>IF(C72,IF(AND(F65&lt;&gt;0,C63&lt;&gt;0),M66,M66/F66*D63)/(C72+Q66),"")</f>
        <v>2.469715482542441</v>
      </c>
      <c r="H72" s="1">
        <f>IF(C72,(M67)/(C72+Q67),"")</f>
        <v>0.76687435098650047</v>
      </c>
      <c r="I72" s="1">
        <f>IF(C72,(M68)/(C72+Q68),"")</f>
        <v>0.597173144876325</v>
      </c>
      <c r="J72" s="1">
        <f>IF(C72,(M69)/(C72+Q69),"")</f>
        <v>0</v>
      </c>
      <c r="K72" s="14">
        <f>IF(AND(C72&lt;&gt;"",N63&lt;&gt;""),9.8*N63*LN((C72+Q65)/(C72+R65)),"")</f>
        <v>4639.7222824138471</v>
      </c>
      <c r="L72" s="1">
        <f>IF(C72,9.8*F66*LN((C72+Q66)/(C72+R66)),"")</f>
        <v>0.12756536517454631</v>
      </c>
      <c r="M72" s="1">
        <f>IF(C72,9.8*F67*LN((C72+Q67)/(C72+R67)),"")</f>
        <v>3479.3324390564499</v>
      </c>
      <c r="N72" s="1">
        <f>IF(C72,9.8*F68*LN((C72+Q68)/(C72+R68)),"")</f>
        <v>4439.4591841543388</v>
      </c>
      <c r="O72" s="1">
        <f>IF(C72,9.8*F69*LN((C72+Q69)/(C72+R69)),"")</f>
        <v>0</v>
      </c>
      <c r="P72" s="15">
        <f>IF(C72,SUM(K72:O72),"")</f>
        <v>12558.641470989811</v>
      </c>
      <c r="Q72" s="1"/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36</v>
      </c>
      <c r="C73" s="9"/>
      <c r="D73" s="1" t="str">
        <f>IF(C73,C73+Q65,"")</f>
        <v/>
      </c>
      <c r="E73" s="72" t="str">
        <f t="shared" si="20"/>
        <v/>
      </c>
      <c r="F73" s="14" t="str">
        <f>IF(AND(C73&lt;&gt;"",N63&lt;&gt;""),(M65/F65*E63+M66/F66*D63)/(C73+Q65),"")</f>
        <v/>
      </c>
      <c r="G73" s="1" t="str">
        <f>IF(C73,IF(AND(F65&lt;&gt;0,C63&lt;&gt;0),M66,M66/F66*D63)/(C73+Q66),"")</f>
        <v/>
      </c>
      <c r="H73" s="1" t="str">
        <f>IF(C73,(M67)/(C73+Q67),"")</f>
        <v/>
      </c>
      <c r="I73" s="1" t="str">
        <f>IF(C73,(M68)/(C73+Q68),"")</f>
        <v/>
      </c>
      <c r="J73" s="1" t="str">
        <f>IF(C73,(M69)/(C73+Q69),"")</f>
        <v/>
      </c>
      <c r="K73" s="14" t="str">
        <f>IF(AND(C73&lt;&gt;"",N63&lt;&gt;""),9.8*N63*LN((C73+Q65)/(C73+R65)),"")</f>
        <v/>
      </c>
      <c r="L73" s="1" t="str">
        <f>IF(C73,9.8*F66*LN((C73+Q66)/(C73+R66)),"")</f>
        <v/>
      </c>
      <c r="M73" s="1" t="str">
        <f>IF(C73,9.8*F67*LN((C73+Q67)/(C73+R67)),"")</f>
        <v/>
      </c>
      <c r="N73" s="1" t="str">
        <f>IF(C73,9.8*F68*LN((C73+Q68)/(C73+R68)),"")</f>
        <v/>
      </c>
      <c r="O73" s="1" t="str">
        <f>IF(C73,9.8*F69*LN((C73+Q69)/(C73+R69)),"")</f>
        <v/>
      </c>
      <c r="P73" s="15" t="str">
        <f>IF(C73,SUM(K73:O73),"")</f>
        <v/>
      </c>
      <c r="Q73" s="1"/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/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9</v>
      </c>
      <c r="D75" s="12" t="s">
        <v>28</v>
      </c>
      <c r="E75" s="12" t="s">
        <v>266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/>
      <c r="D76" s="1" t="str">
        <f>IF(C76,C76+Q65,"")</f>
        <v/>
      </c>
      <c r="E76" s="72" t="str">
        <f>IF(C76,C76/D76,"")</f>
        <v/>
      </c>
      <c r="F76" s="14" t="str">
        <f>IF(AND(C76&lt;&gt;"",N63&lt;&gt;""),(M65/F65*E63+M66/F66*D63)/(C76+U65),"")</f>
        <v/>
      </c>
      <c r="G76" s="1" t="str">
        <f>IF(C76,IF(AND(F65&lt;&gt;0,C63&lt;&gt;0),M66,M66/F66*D63)/(C76+U66),"")</f>
        <v/>
      </c>
      <c r="H76" s="1" t="str">
        <f>IF(C76,(M67)/(C76+U67),"")</f>
        <v/>
      </c>
      <c r="I76" s="1" t="str">
        <f>IF(C76,(M68)/(C76+U68),"")</f>
        <v/>
      </c>
      <c r="J76" s="1" t="str">
        <f>IF(C76,(M69)/(C76+U69),"")</f>
        <v/>
      </c>
      <c r="K76" s="14" t="str">
        <f>IF(AND(C76&lt;&gt;"",N63&lt;&gt;""),9.8*N63*LN((C76+U65)/(C76+V65)),"")</f>
        <v/>
      </c>
      <c r="L76" s="1" t="str">
        <f>IF(C76,9.8*F66*LN((C76+U66)/(C76+V66)),"")</f>
        <v/>
      </c>
      <c r="M76" s="1" t="str">
        <f>IF(C76,9.8*F67*LN((C76+U67)/(C76+V67)),"")</f>
        <v/>
      </c>
      <c r="N76" s="1" t="str">
        <f>IF(C76,9.8*F68*LN((C76+U68)/(C76+V68)),"")</f>
        <v/>
      </c>
      <c r="O76" s="1" t="str">
        <f>IF(C76,9.8*F69*LN((C76+U69)/(C76+V69)),"")</f>
        <v/>
      </c>
      <c r="P76" s="15" t="str">
        <f>IF(C76,SUM(K76:O76),"")</f>
        <v/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/>
      <c r="D77" s="1" t="str">
        <f>IF(C77,C77+Q65,"")</f>
        <v/>
      </c>
      <c r="E77" s="72" t="str">
        <f t="shared" ref="E77:E79" si="22">IF(C77,C77/D77,"")</f>
        <v/>
      </c>
      <c r="F77" s="14" t="str">
        <f>IF(AND(C77&lt;&gt;"",N63&lt;&gt;""),(M65/F65*E63+M66/F66*D63)/(C77+U65),"")</f>
        <v/>
      </c>
      <c r="G77" s="1" t="str">
        <f>IF(C77,IF(AND(F65&lt;&gt;0,C63&lt;&gt;0),M66,M66/F66*D63)/(C77+U66),"")</f>
        <v/>
      </c>
      <c r="H77" s="1" t="str">
        <f>IF(C77,(M67)/(C77+U67),"")</f>
        <v/>
      </c>
      <c r="I77" s="1" t="str">
        <f>IF(C77,(M68)/(C77+U68),"")</f>
        <v/>
      </c>
      <c r="J77" s="1" t="str">
        <f>IF(C77,(M69)/(C77+U69),"")</f>
        <v/>
      </c>
      <c r="K77" s="14" t="str">
        <f>IF(AND(C77&lt;&gt;"",N63&lt;&gt;""),9.8*N63*LN((C77+U65)/(C77+V65)),"")</f>
        <v/>
      </c>
      <c r="L77" s="1" t="str">
        <f>IF(C77,9.8*F66*LN((C77+U66)/(C77+V66)),"")</f>
        <v/>
      </c>
      <c r="M77" s="1" t="str">
        <f>IF(C77,9.8*F67*LN((C77+U67)/(C77+V67)),"")</f>
        <v/>
      </c>
      <c r="N77" s="1" t="str">
        <f>IF(C77,9.8*F68*LN((C77+U68)/(C77+V68)),"")</f>
        <v/>
      </c>
      <c r="O77" s="1" t="str">
        <f>IF(C77,9.8*F69*LN((C77+U69)/(C77+V69)),"")</f>
        <v/>
      </c>
      <c r="P77" s="15" t="str">
        <f>IF(C77,SUM(K77:O77),"")</f>
        <v/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/>
      <c r="D78" s="1" t="str">
        <f>IF(C78,C78+Q65,"")</f>
        <v/>
      </c>
      <c r="E78" s="72" t="str">
        <f t="shared" si="22"/>
        <v/>
      </c>
      <c r="F78" s="14" t="str">
        <f>IF(AND(C78&lt;&gt;"",N63&lt;&gt;""),(M65/F65*E63+M66/F66*D63)/(C78+U65),"")</f>
        <v/>
      </c>
      <c r="G78" s="1" t="str">
        <f>IF(C78,IF(AND(F65&lt;&gt;0,C63&lt;&gt;0),M66,M66/F66*D63)/(C78+U66),"")</f>
        <v/>
      </c>
      <c r="H78" s="1" t="str">
        <f>IF(C78,(M67)/(C78+U67),"")</f>
        <v/>
      </c>
      <c r="I78" s="1" t="str">
        <f>IF(C78,(M68)/(C78+U68),"")</f>
        <v/>
      </c>
      <c r="J78" s="1" t="str">
        <f>IF(C78,(M69)/(C78+U69),"")</f>
        <v/>
      </c>
      <c r="K78" s="14" t="str">
        <f>IF(AND(C78&lt;&gt;"",N63&lt;&gt;""),9.8*N63*LN((C78+U65)/(C78+V65)),"")</f>
        <v/>
      </c>
      <c r="L78" s="1" t="str">
        <f>IF(C78,9.8*F66*LN((C78+U66)/(C78+V66)),"")</f>
        <v/>
      </c>
      <c r="M78" s="1" t="str">
        <f>IF(C78,9.8*F67*LN((C78+U67)/(C78+V67)),"")</f>
        <v/>
      </c>
      <c r="N78" s="1" t="str">
        <f>IF(C78,9.8*F68*LN((C78+U68)/(C78+V68)),"")</f>
        <v/>
      </c>
      <c r="O78" s="1" t="str">
        <f>IF(C78,9.8*F69*LN((C78+U69)/(C78+V69)),"")</f>
        <v/>
      </c>
      <c r="P78" s="15" t="str">
        <f>IF(C78,SUM(K78:O78),"")</f>
        <v/>
      </c>
      <c r="Q78" s="1"/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46</v>
      </c>
      <c r="B79" s="49" t="s">
        <v>33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210</v>
      </c>
      <c r="B81" s="52"/>
      <c r="C81" s="29" t="s">
        <v>0</v>
      </c>
      <c r="D81" s="90" t="s">
        <v>41</v>
      </c>
      <c r="E81" s="90"/>
      <c r="F81" s="43"/>
      <c r="G81" s="43"/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211</v>
      </c>
      <c r="B82" s="39"/>
      <c r="C82" s="2">
        <v>2</v>
      </c>
      <c r="D82" s="2">
        <v>300</v>
      </c>
      <c r="E82" s="2">
        <v>300</v>
      </c>
      <c r="F82" s="41"/>
      <c r="G82" s="42"/>
      <c r="H82" s="42"/>
      <c r="I82" s="24" t="s">
        <v>218</v>
      </c>
      <c r="J82" s="24"/>
      <c r="K82" s="24"/>
      <c r="L82" s="55">
        <f>IFERROR(IF(AND(F84&lt;&gt;0,C82&lt;&gt;0),M84/F84*E82+M85/F85*D82,M85/F85*D82),0)</f>
        <v>489.67164179104475</v>
      </c>
      <c r="M82" s="53" t="s">
        <v>45</v>
      </c>
      <c r="N82" s="17">
        <f>IF(AND(F84&lt;&gt;0,C82&lt;&gt;0),(M84+M85)/(M84/F84+M85/F85),"")</f>
        <v>335</v>
      </c>
      <c r="O82" s="56" t="s">
        <v>46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1</v>
      </c>
      <c r="D83" s="1" t="s">
        <v>2</v>
      </c>
      <c r="E83" s="1" t="s">
        <v>7</v>
      </c>
      <c r="F83" s="1" t="s">
        <v>8</v>
      </c>
      <c r="G83" s="1" t="s">
        <v>43</v>
      </c>
      <c r="H83" s="1" t="s">
        <v>44</v>
      </c>
      <c r="I83" s="60" t="s">
        <v>216</v>
      </c>
      <c r="J83" s="24"/>
      <c r="K83" s="24"/>
      <c r="L83" s="11" t="s">
        <v>6</v>
      </c>
      <c r="M83" s="12" t="s">
        <v>69</v>
      </c>
      <c r="N83" s="12" t="s">
        <v>15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16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>
        <v>79.25</v>
      </c>
      <c r="D84" s="4">
        <v>11.24</v>
      </c>
      <c r="E84" s="4">
        <v>136.69999999999999</v>
      </c>
      <c r="F84" s="4">
        <v>335</v>
      </c>
      <c r="G84" s="19"/>
      <c r="H84" s="20"/>
      <c r="I84" s="24" t="s">
        <v>221</v>
      </c>
      <c r="J84" s="24"/>
      <c r="K84" s="24"/>
      <c r="L84" s="14">
        <f>C84*C82</f>
        <v>158.5</v>
      </c>
      <c r="M84" s="1">
        <f>E84*C82</f>
        <v>273.39999999999998</v>
      </c>
      <c r="N84" s="1">
        <f>IF(D84,L84/D84,0)</f>
        <v>14.101423487544483</v>
      </c>
      <c r="O84" s="15">
        <f>L84-N84</f>
        <v>144.39857651245552</v>
      </c>
      <c r="P84" s="14">
        <f>IF(AND(F84&lt;&gt;0,C82&lt;&gt;0),O84/M84*F84/IF(G84,G84,1),0)</f>
        <v>176.93314971350622</v>
      </c>
      <c r="Q84" s="1">
        <f>SUM(L84:L88)</f>
        <v>337.3</v>
      </c>
      <c r="R84" s="15">
        <f>N84+Q85</f>
        <v>60.054733096085414</v>
      </c>
      <c r="S84" s="14">
        <f>N84+H84*O84</f>
        <v>14.101423487544483</v>
      </c>
      <c r="T84" s="1">
        <f>IF(AND(F84&lt;&gt;0,C82&lt;&gt;0),(1-H84)*O84/M84*F84/IF(G84,G84,1),0)</f>
        <v>176.93314971350622</v>
      </c>
      <c r="U84" s="1">
        <f>SUM(L84:L88)</f>
        <v>337.3</v>
      </c>
      <c r="V84" s="1">
        <f>S84+U85</f>
        <v>60.054733096085414</v>
      </c>
    </row>
    <row r="85" spans="1:22">
      <c r="A85" s="47"/>
      <c r="B85" s="27">
        <v>1</v>
      </c>
      <c r="C85" s="5">
        <v>157.5</v>
      </c>
      <c r="D85" s="1">
        <v>10.94</v>
      </c>
      <c r="E85" s="1">
        <v>273.39999999999998</v>
      </c>
      <c r="F85" s="1">
        <v>335</v>
      </c>
      <c r="G85" s="5">
        <v>0.92</v>
      </c>
      <c r="H85" s="21"/>
      <c r="I85" s="30" t="s">
        <v>223</v>
      </c>
      <c r="J85" s="30"/>
      <c r="K85" s="30"/>
      <c r="L85" s="14">
        <f>C85</f>
        <v>157.5</v>
      </c>
      <c r="M85" s="1">
        <f>E85</f>
        <v>273.39999999999998</v>
      </c>
      <c r="N85" s="1">
        <f>IF(D85,L85/D85,0)</f>
        <v>14.396709323583181</v>
      </c>
      <c r="O85" s="15">
        <f>L85-N85</f>
        <v>143.1032906764168</v>
      </c>
      <c r="P85" s="14">
        <f t="shared" ref="P85:P88" si="24">IF(F85,O85/M85*F85/IF(G85,G85,1),0)</f>
        <v>190.59350202203981</v>
      </c>
      <c r="Q85" s="1">
        <f>IF(F85,SUM(L85:L88)-P84*M85/F85*IF(G85,G85,1),0)</f>
        <v>45.953309608540934</v>
      </c>
      <c r="R85" s="15">
        <f>N85+Q86</f>
        <v>35.696709323583178</v>
      </c>
      <c r="S85" s="14">
        <f>N85+H85*O85</f>
        <v>14.396709323583181</v>
      </c>
      <c r="T85" s="1">
        <f>IF(F85,(1-H85)*O85/M85*F85/IF(G85,G85,1),0)</f>
        <v>190.59350202203981</v>
      </c>
      <c r="U85" s="1">
        <f>IF(F85,SUM(L85:L88)-T84*M85/F85*IF(G85,G85,1),0)</f>
        <v>45.953309608540934</v>
      </c>
      <c r="V85" s="1">
        <f>S85+U86</f>
        <v>35.696709323583178</v>
      </c>
    </row>
    <row r="86" spans="1:22">
      <c r="A86" s="47"/>
      <c r="B86" s="27">
        <v>2</v>
      </c>
      <c r="C86" s="5">
        <v>21.3</v>
      </c>
      <c r="D86" s="1">
        <v>6.96</v>
      </c>
      <c r="E86" s="1">
        <v>16.899999999999999</v>
      </c>
      <c r="F86" s="1">
        <v>438</v>
      </c>
      <c r="G86" s="5"/>
      <c r="H86" s="21"/>
      <c r="I86" s="30" t="s">
        <v>214</v>
      </c>
      <c r="J86" s="30"/>
      <c r="K86" s="30"/>
      <c r="L86" s="14">
        <f>C86</f>
        <v>21.3</v>
      </c>
      <c r="M86" s="1">
        <f>E86</f>
        <v>16.899999999999999</v>
      </c>
      <c r="N86" s="1">
        <f>IF(D86,L86/D86,0)</f>
        <v>3.0603448275862069</v>
      </c>
      <c r="O86" s="15">
        <f>L86-N86</f>
        <v>18.239655172413794</v>
      </c>
      <c r="P86" s="14">
        <f t="shared" si="24"/>
        <v>472.72005713119779</v>
      </c>
      <c r="Q86" s="1">
        <f>SUM(L86:L88)</f>
        <v>21.3</v>
      </c>
      <c r="R86" s="15">
        <f>N86+Q87</f>
        <v>3.0603448275862069</v>
      </c>
      <c r="S86" s="14">
        <f>N86+H86*O86</f>
        <v>3.0603448275862069</v>
      </c>
      <c r="T86" s="1">
        <f t="shared" ref="T86:T88" si="25">IF(F86,(1-H86)*O86/M86*F86/IF(G86,G86,1),0)</f>
        <v>472.72005713119779</v>
      </c>
      <c r="U86" s="1">
        <f>SUM(L86:L88)</f>
        <v>21.3</v>
      </c>
      <c r="V86" s="1">
        <f>S86+U87</f>
        <v>3.0603448275862069</v>
      </c>
    </row>
    <row r="87" spans="1:22">
      <c r="A87" s="33" t="s">
        <v>45</v>
      </c>
      <c r="B87" s="27">
        <v>3</v>
      </c>
      <c r="C87" s="5"/>
      <c r="D87" s="1"/>
      <c r="E87" s="1"/>
      <c r="F87" s="1"/>
      <c r="G87" s="5"/>
      <c r="H87" s="21"/>
      <c r="I87" s="30"/>
      <c r="J87" s="30"/>
      <c r="K87" s="30"/>
      <c r="L87" s="14">
        <f>C87</f>
        <v>0</v>
      </c>
      <c r="M87" s="1">
        <f>E87</f>
        <v>0</v>
      </c>
      <c r="N87" s="1">
        <f>IF(D87,L87/D87,0)</f>
        <v>0</v>
      </c>
      <c r="O87" s="15">
        <f>L87-N87</f>
        <v>0</v>
      </c>
      <c r="P87" s="14">
        <f t="shared" si="24"/>
        <v>0</v>
      </c>
      <c r="Q87" s="1">
        <f>SUM(L87:L88)</f>
        <v>0</v>
      </c>
      <c r="R87" s="15">
        <f>N87+Q88</f>
        <v>0</v>
      </c>
      <c r="S87" s="14">
        <f>N87+H87*O87</f>
        <v>0</v>
      </c>
      <c r="T87" s="1">
        <f t="shared" si="25"/>
        <v>0</v>
      </c>
      <c r="U87" s="1">
        <f>SUM(L87:L88)</f>
        <v>0</v>
      </c>
      <c r="V87" s="1">
        <f>S87+U88</f>
        <v>0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265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85" t="s">
        <v>42</v>
      </c>
      <c r="R89" s="85"/>
      <c r="S89" s="85"/>
      <c r="T89" s="31" t="s">
        <v>50</v>
      </c>
      <c r="U89" s="35" t="s">
        <v>47</v>
      </c>
      <c r="V89" s="36" t="s">
        <v>264</v>
      </c>
    </row>
    <row r="90" spans="1:22">
      <c r="A90" s="47"/>
      <c r="B90" s="27" t="s">
        <v>30</v>
      </c>
      <c r="C90" s="8">
        <v>8.1</v>
      </c>
      <c r="D90" s="1">
        <f>IF(C90,C90+Q84,"")</f>
        <v>345.40000000000003</v>
      </c>
      <c r="E90" s="72">
        <f>IF(C90,C90/D90,"")</f>
        <v>2.3451071221771855E-2</v>
      </c>
      <c r="F90" s="14">
        <f>IF(AND(C90&lt;&gt;"",N82&lt;&gt;""),(M84/F84*E82+M85/F85*D82)/(C90+Q84),"")</f>
        <v>1.4176943885091045</v>
      </c>
      <c r="G90" s="1">
        <f>IF(C90,IF(AND(F84&lt;&gt;0,C82&lt;&gt;0),M85,M85/F85*D82)/(C90+Q85),"")</f>
        <v>5.0579696595821426</v>
      </c>
      <c r="H90" s="1">
        <f>IF(C90,(M86)/(C90+Q86),"")</f>
        <v>0.57482993197278909</v>
      </c>
      <c r="I90" s="1">
        <f>IF(C90,(M87)/(C90+Q87),"")</f>
        <v>0</v>
      </c>
      <c r="J90" s="1">
        <f>IF(C90,(M88)/(C90+Q88),"")</f>
        <v>0</v>
      </c>
      <c r="K90" s="14">
        <f>IF(AND(C90&lt;&gt;"",N82&lt;&gt;""),9.8*N82*LN((C90+Q84)/(C90+R84)),"")</f>
        <v>5328.0547606340724</v>
      </c>
      <c r="L90" s="1">
        <f>IF(C90,9.8*F85*LN((C90+Q85)/(C90+R85)),"")</f>
        <v>690.78289015533505</v>
      </c>
      <c r="M90" s="1">
        <f>IF(C90,9.8*F86*LN((C90+Q86)/(C90+R86)),"")</f>
        <v>4157.7380517332595</v>
      </c>
      <c r="N90" s="1">
        <f>IF(C90,9.8*F87*LN((C90+Q87)/(C90+R87)),"")</f>
        <v>0</v>
      </c>
      <c r="O90" s="1">
        <f>IF(C90,9.8*F88*LN((C90+Q88)/(C90+R88)),"")</f>
        <v>0</v>
      </c>
      <c r="P90" s="15">
        <f>IF(C90,SUM(K90:O90),"")</f>
        <v>10176.575702522667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47</v>
      </c>
      <c r="B91" s="27" t="s">
        <v>31</v>
      </c>
      <c r="C91" s="9">
        <v>2.8</v>
      </c>
      <c r="D91" s="1">
        <f>IF(C91,C91+Q84,"")</f>
        <v>340.1</v>
      </c>
      <c r="E91" s="72">
        <f t="shared" ref="E91:E93" si="26">IF(C91,C91/D91,"")</f>
        <v>8.2328726845045559E-3</v>
      </c>
      <c r="F91" s="14">
        <f>IF(AND(C91&lt;&gt;"",N82&lt;&gt;""),(M84/F84*E82+M85/F85*D82)/(C91+Q84),"")</f>
        <v>1.4397872443135686</v>
      </c>
      <c r="G91" s="1">
        <f>IF(C91,IF(AND(F84&lt;&gt;0,C82&lt;&gt;0),M85,M85/F85*D82)/(C91+Q85),"")</f>
        <v>5.6078244163367312</v>
      </c>
      <c r="H91" s="1">
        <f>IF(C91,(M86)/(C91+Q86),"")</f>
        <v>0.70124481327800825</v>
      </c>
      <c r="I91" s="1">
        <f>IF(C91,(M87)/(C91+Q87),"")</f>
        <v>0</v>
      </c>
      <c r="J91" s="1">
        <f>IF(C91,(M88)/(C91+Q88),"")</f>
        <v>0</v>
      </c>
      <c r="K91" s="14">
        <f>IF(AND(C91&lt;&gt;"",N82&lt;&gt;""),9.8*N82*LN((C91+Q84)/(C91+R84)),"")</f>
        <v>5543.0613629119762</v>
      </c>
      <c r="L91" s="1">
        <f>IF(C91,9.8*F85*LN((C91+Q85)/(C91+R85)),"")</f>
        <v>775.44564734061191</v>
      </c>
      <c r="M91" s="1">
        <f>IF(C91,9.8*F86*LN((C91+Q86)/(C91+R86)),"")</f>
        <v>6069.4681698691311</v>
      </c>
      <c r="N91" s="1">
        <f>IF(C91,9.8*F87*LN((C91+Q87)/(C91+R87)),"")</f>
        <v>0</v>
      </c>
      <c r="O91" s="1">
        <f>IF(C91,9.8*F88*LN((C91+Q88)/(C91+R88)),"")</f>
        <v>0</v>
      </c>
      <c r="P91" s="15">
        <f>IF(C91,SUM(K91:O91),"")</f>
        <v>12387.975180121719</v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36</v>
      </c>
      <c r="C92" s="9"/>
      <c r="D92" s="1" t="str">
        <f>IF(C92,C92+Q84,"")</f>
        <v/>
      </c>
      <c r="E92" s="72" t="str">
        <f t="shared" si="26"/>
        <v/>
      </c>
      <c r="F92" s="14" t="str">
        <f>IF(AND(C92&lt;&gt;"",N82&lt;&gt;""),(M84/F84*E82+M85/F85*D82)/(C92+Q84),"")</f>
        <v/>
      </c>
      <c r="G92" s="1" t="str">
        <f>IF(C92,IF(AND(F84&lt;&gt;0,C82&lt;&gt;0),M85,M85/F85*D82)/(C92+Q85),"")</f>
        <v/>
      </c>
      <c r="H92" s="1" t="str">
        <f>IF(C92,(M86)/(C92+Q86),"")</f>
        <v/>
      </c>
      <c r="I92" s="1" t="str">
        <f>IF(C92,(M87)/(C92+Q87),"")</f>
        <v/>
      </c>
      <c r="J92" s="1" t="str">
        <f>IF(C92,(M88)/(C92+Q88),"")</f>
        <v/>
      </c>
      <c r="K92" s="14" t="str">
        <f>IF(AND(C92&lt;&gt;"",N82&lt;&gt;""),9.8*N82*LN((C92+Q84)/(C92+R84)),"")</f>
        <v/>
      </c>
      <c r="L92" s="1" t="str">
        <f>IF(C92,9.8*F85*LN((C92+Q85)/(C92+R85)),"")</f>
        <v/>
      </c>
      <c r="M92" s="1" t="str">
        <f>IF(C92,9.8*F86*LN((C92+Q86)/(C92+R86)),"")</f>
        <v/>
      </c>
      <c r="N92" s="1" t="str">
        <f>IF(C92,9.8*F87*LN((C92+Q87)/(C92+R87)),"")</f>
        <v/>
      </c>
      <c r="O92" s="1" t="str">
        <f>IF(C92,9.8*F88*LN((C92+Q88)/(C92+R88)),"")</f>
        <v/>
      </c>
      <c r="P92" s="15" t="str">
        <f>IF(C92,SUM(K92:O92),"")</f>
        <v/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>
        <v>5.5</v>
      </c>
      <c r="D93" s="1">
        <f>IF(C93,C93+Q84,"")</f>
        <v>342.8</v>
      </c>
      <c r="E93" s="72">
        <f t="shared" si="26"/>
        <v>1.6044340723453909E-2</v>
      </c>
      <c r="F93" s="14">
        <f>IF(AND(C93&lt;&gt;"",N82&lt;&gt;""),(M84/F84*E82+M85/F85*D82)/(C93+Q84),"")</f>
        <v>1.4284470297288352</v>
      </c>
      <c r="G93" s="1">
        <f>IF(C93,IF(AND(F84&lt;&gt;0,C82&lt;&gt;0),M85,M85/F85*D82)/(C93+Q85),"")</f>
        <v>5.3135551839141026</v>
      </c>
      <c r="H93" s="1">
        <f>IF(C93,(M86)/(C93+Q86),"")</f>
        <v>0.63059701492537301</v>
      </c>
      <c r="I93" s="1">
        <f>IF(C93,(M87)/(C93+Q87),"")</f>
        <v>0</v>
      </c>
      <c r="J93" s="1">
        <f>IF(C93,(M88)/(C93+Q88),"")</f>
        <v>0</v>
      </c>
      <c r="K93" s="14">
        <f>IF(AND(C93&lt;&gt;"",N82&lt;&gt;""),9.8*N82*LN((C93+Q84)/(C93+R84)),"")</f>
        <v>5430.9414015163829</v>
      </c>
      <c r="L93" s="1">
        <f>IF(C93,9.8*F85*LN((C93+Q85)/(C93+R85)),"")</f>
        <v>729.86475606863712</v>
      </c>
      <c r="M93" s="1">
        <f>IF(C93,9.8*F86*LN((C93+Q86)/(C93+R86)),"")</f>
        <v>4898.7504959346215</v>
      </c>
      <c r="N93" s="1">
        <f>IF(C93,9.8*F87*LN((C93+Q87)/(C93+R87)),"")</f>
        <v>0</v>
      </c>
      <c r="O93" s="1">
        <f>IF(C93,9.8*F88*LN((C93+Q88)/(C93+R88)),"")</f>
        <v>0</v>
      </c>
      <c r="P93" s="15">
        <f>IF(C93,SUM(K93:O93),"")</f>
        <v>11059.556653519641</v>
      </c>
      <c r="Q93" s="17" t="s">
        <v>207</v>
      </c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9</v>
      </c>
      <c r="D94" s="12" t="s">
        <v>28</v>
      </c>
      <c r="E94" s="12" t="s">
        <v>266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85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/>
      <c r="D95" s="1" t="str">
        <f>IF(C95,C95+Q84,"")</f>
        <v/>
      </c>
      <c r="E95" s="72" t="str">
        <f>IF(C95,C95/D95,"")</f>
        <v/>
      </c>
      <c r="F95" s="14" t="str">
        <f>IF(AND(C95&lt;&gt;"",N82&lt;&gt;""),(M84/F84*E82+M85/F85*D82)/(C95+U84),"")</f>
        <v/>
      </c>
      <c r="G95" s="1" t="str">
        <f>IF(C95,IF(AND(F84&lt;&gt;0,C82&lt;&gt;0),M85,M85/F85*D82)/(C95+U85),"")</f>
        <v/>
      </c>
      <c r="H95" s="1" t="str">
        <f>IF(C95,(M86)/(C95+U86),"")</f>
        <v/>
      </c>
      <c r="I95" s="1" t="str">
        <f>IF(C95,(M87)/(C95+U87),"")</f>
        <v/>
      </c>
      <c r="J95" s="1" t="str">
        <f>IF(C95,(M88)/(C95+U88),"")</f>
        <v/>
      </c>
      <c r="K95" s="14" t="str">
        <f>IF(AND(C95&lt;&gt;"",N82&lt;&gt;""),9.8*N82*LN((C95+U84)/(C95+V84)),"")</f>
        <v/>
      </c>
      <c r="L95" s="1" t="str">
        <f>IF(C95,9.8*F85*LN((C95+U85)/(C95+V85)),"")</f>
        <v/>
      </c>
      <c r="M95" s="1" t="str">
        <f>IF(C95,9.8*F86*LN((C95+U86)/(C95+V86)),"")</f>
        <v/>
      </c>
      <c r="N95" s="1" t="str">
        <f>IF(C95,9.8*F87*LN((C95+U87)/(C95+V87)),"")</f>
        <v/>
      </c>
      <c r="O95" s="1" t="str">
        <f>IF(C95,9.8*F88*LN((C95+U88)/(C95+V88)),"")</f>
        <v/>
      </c>
      <c r="P95" s="15" t="str">
        <f>IF(C95,SUM(K95:O95),"")</f>
        <v/>
      </c>
      <c r="Q95" s="1"/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/>
      <c r="D96" s="1" t="str">
        <f>IF(C96,C96+Q84,"")</f>
        <v/>
      </c>
      <c r="E96" s="72" t="str">
        <f t="shared" ref="E96:E98" si="28">IF(C96,C96/D96,"")</f>
        <v/>
      </c>
      <c r="F96" s="14" t="str">
        <f>IF(AND(C96&lt;&gt;"",N82&lt;&gt;""),(M84/F84*E82+M85/F85*D82)/(C96+U84),"")</f>
        <v/>
      </c>
      <c r="G96" s="1" t="str">
        <f>IF(C96,IF(AND(F84&lt;&gt;0,C82&lt;&gt;0),M85,M85/F85*D82)/(C96+U85),"")</f>
        <v/>
      </c>
      <c r="H96" s="1" t="str">
        <f>IF(C96,(M86)/(C96+U86),"")</f>
        <v/>
      </c>
      <c r="I96" s="1" t="str">
        <f>IF(C96,(M87)/(C96+U87),"")</f>
        <v/>
      </c>
      <c r="J96" s="1" t="str">
        <f>IF(C96,(M88)/(C96+U88),"")</f>
        <v/>
      </c>
      <c r="K96" s="14" t="str">
        <f>IF(AND(C96&lt;&gt;"",N82&lt;&gt;""),9.8*N82*LN((C96+U84)/(C96+V84)),"")</f>
        <v/>
      </c>
      <c r="L96" s="1" t="str">
        <f>IF(C96,9.8*F85*LN((C96+U85)/(C96+V85)),"")</f>
        <v/>
      </c>
      <c r="M96" s="1" t="str">
        <f>IF(C96,9.8*F86*LN((C96+U86)/(C96+V86)),"")</f>
        <v/>
      </c>
      <c r="N96" s="1" t="str">
        <f>IF(C96,9.8*F87*LN((C96+U87)/(C96+V87)),"")</f>
        <v/>
      </c>
      <c r="O96" s="1" t="str">
        <f>IF(C96,9.8*F88*LN((C96+U88)/(C96+V88)),"")</f>
        <v/>
      </c>
      <c r="P96" s="15" t="str">
        <f>IF(C96,SUM(K96:O96),"")</f>
        <v/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46</v>
      </c>
      <c r="B98" s="49" t="s">
        <v>33</v>
      </c>
      <c r="C98" s="50"/>
      <c r="D98" s="25" t="str">
        <f>IF(C98,C98+Q84,"")</f>
        <v/>
      </c>
      <c r="E98" s="73" t="str">
        <f t="shared" si="28"/>
        <v/>
      </c>
      <c r="F98" s="70" t="str">
        <f>IF(AND(C98&lt;&gt;"",N82&lt;&gt;""),(M84/F84*E82+M85/F85*D82)/(C98+U84),"")</f>
        <v/>
      </c>
      <c r="G98" s="25" t="str">
        <f>IF(C98,IF(AND(F84&lt;&gt;0,C82&lt;&gt;0),M85,M85/F85*D82)/(C98+U85),"")</f>
        <v/>
      </c>
      <c r="H98" s="25" t="str">
        <f>IF(C98,(M86)/(C98+U86),"")</f>
        <v/>
      </c>
      <c r="I98" s="25" t="str">
        <f>IF(C98,(M87)/(C98+U87),"")</f>
        <v/>
      </c>
      <c r="J98" s="25" t="str">
        <f>IF(C98,(M88)/(C98+U88),"")</f>
        <v/>
      </c>
      <c r="K98" s="70" t="str">
        <f>IF(AND(C98&lt;&gt;"",N82&lt;&gt;""),9.8*N82*LN((C98+U84)/(C98+V84)),"")</f>
        <v/>
      </c>
      <c r="L98" s="25" t="str">
        <f>IF(C98,9.8*F85*LN((C98+U85)/(C98+V85)),"")</f>
        <v/>
      </c>
      <c r="M98" s="25" t="str">
        <f>IF(C98,9.8*F86*LN((C98+U86)/(C98+V86)),"")</f>
        <v/>
      </c>
      <c r="N98" s="25" t="str">
        <f>IF(C98,9.8*F87*LN((C98+U87)/(C98+V87)),"")</f>
        <v/>
      </c>
      <c r="O98" s="25" t="str">
        <f>IF(C98,9.8*F88*LN((C98+U88)/(C98+V88)),"")</f>
        <v/>
      </c>
      <c r="P98" s="71" t="str">
        <f>IF(C98,SUM(K98:O98),"")</f>
        <v/>
      </c>
      <c r="Q98" s="25"/>
      <c r="R98" s="25"/>
      <c r="S98" s="25"/>
      <c r="T98" s="51" t="str">
        <f t="shared" si="29"/>
        <v/>
      </c>
      <c r="U98" s="25"/>
      <c r="V98" s="25"/>
    </row>
    <row r="99" spans="1:22" ht="15" thickBot="1"/>
    <row r="100" spans="1:22" ht="15" thickBot="1">
      <c r="A100" s="52" t="s">
        <v>212</v>
      </c>
      <c r="B100" s="52"/>
      <c r="C100" s="29" t="s">
        <v>0</v>
      </c>
      <c r="D100" s="90" t="s">
        <v>41</v>
      </c>
      <c r="E100" s="90"/>
      <c r="F100" s="43"/>
      <c r="G100" s="43"/>
      <c r="H100" s="43"/>
      <c r="I100" s="86" t="s">
        <v>42</v>
      </c>
      <c r="J100" s="86"/>
      <c r="K100" s="87"/>
      <c r="L100" s="54" t="s">
        <v>70</v>
      </c>
      <c r="M100" s="86" t="s">
        <v>71</v>
      </c>
      <c r="N100" s="86"/>
      <c r="O100" s="87"/>
      <c r="P100" s="29" t="s">
        <v>49</v>
      </c>
      <c r="Q100" s="34" t="str">
        <f>IF(OR(P104&lt;P103,T104&lt;T103),"芯级燃烧时间不得小于助推燃烧时间！","")</f>
        <v/>
      </c>
      <c r="R100" s="44"/>
      <c r="S100" s="45"/>
      <c r="T100" s="29"/>
      <c r="U100" s="46" t="s">
        <v>45</v>
      </c>
      <c r="V100" s="46" t="s">
        <v>48</v>
      </c>
    </row>
    <row r="101" spans="1:22" ht="15" thickBot="1">
      <c r="A101" s="40" t="s">
        <v>213</v>
      </c>
      <c r="B101" s="39"/>
      <c r="C101" s="2">
        <v>2</v>
      </c>
      <c r="D101" s="2">
        <v>300</v>
      </c>
      <c r="E101" s="2">
        <v>300</v>
      </c>
      <c r="F101" s="41"/>
      <c r="G101" s="42"/>
      <c r="H101" s="42"/>
      <c r="I101" s="24" t="s">
        <v>219</v>
      </c>
      <c r="J101" s="24"/>
      <c r="K101" s="24"/>
      <c r="L101" s="55">
        <f>IFERROR(IF(AND(F103&lt;&gt;0,C101&lt;&gt;0),M103/F103*E101+M104/F104*D101,M104/F104*D101),0)</f>
        <v>489.67164179104475</v>
      </c>
      <c r="M101" s="53" t="s">
        <v>45</v>
      </c>
      <c r="N101" s="17">
        <f>IF(AND(F103&lt;&gt;0,C101&lt;&gt;0),(M103+M104)/(M103/F103+M104/F104),"")</f>
        <v>335</v>
      </c>
      <c r="O101" s="56" t="s">
        <v>46</v>
      </c>
      <c r="P101" s="88" t="s">
        <v>17</v>
      </c>
      <c r="Q101" s="89"/>
      <c r="R101" s="91"/>
      <c r="S101" s="88" t="s">
        <v>18</v>
      </c>
      <c r="T101" s="89"/>
      <c r="U101" s="89"/>
      <c r="V101" s="89"/>
    </row>
    <row r="102" spans="1:22" ht="15" thickBot="1">
      <c r="A102" s="33" t="s">
        <v>45</v>
      </c>
      <c r="B102" s="26" t="s">
        <v>39</v>
      </c>
      <c r="C102" s="1" t="s">
        <v>1</v>
      </c>
      <c r="D102" s="1" t="s">
        <v>2</v>
      </c>
      <c r="E102" s="1" t="s">
        <v>7</v>
      </c>
      <c r="F102" s="1" t="s">
        <v>8</v>
      </c>
      <c r="G102" s="1" t="s">
        <v>43</v>
      </c>
      <c r="H102" s="1" t="s">
        <v>44</v>
      </c>
      <c r="I102" s="60" t="str">
        <f>HYPERLINK(":\Reference\新一代中型系列运载火箭长征八号的发展及其关键技术.pdf","新一代中型系列运载火箭长征八号的发展及其关键技术.pdf")</f>
        <v>新一代中型系列运载火箭长征八号的发展及其关键技术.pdf</v>
      </c>
      <c r="J102" s="24"/>
      <c r="K102" s="24"/>
      <c r="L102" s="11" t="s">
        <v>6</v>
      </c>
      <c r="M102" s="12" t="s">
        <v>69</v>
      </c>
      <c r="N102" s="12" t="s">
        <v>15</v>
      </c>
      <c r="O102" s="13" t="s">
        <v>14</v>
      </c>
      <c r="P102" s="14" t="s">
        <v>12</v>
      </c>
      <c r="Q102" s="1" t="s">
        <v>10</v>
      </c>
      <c r="R102" s="15" t="s">
        <v>11</v>
      </c>
      <c r="S102" s="14" t="s">
        <v>13</v>
      </c>
      <c r="T102" s="1" t="s">
        <v>16</v>
      </c>
      <c r="U102" s="1" t="s">
        <v>10</v>
      </c>
      <c r="V102" s="1" t="s">
        <v>11</v>
      </c>
    </row>
    <row r="103" spans="1:22">
      <c r="A103" s="40"/>
      <c r="B103" s="27" t="s">
        <v>3</v>
      </c>
      <c r="C103" s="3">
        <v>79.25</v>
      </c>
      <c r="D103" s="4">
        <v>11.24</v>
      </c>
      <c r="E103" s="4">
        <v>136.69999999999999</v>
      </c>
      <c r="F103" s="4">
        <v>335</v>
      </c>
      <c r="G103" s="19"/>
      <c r="H103" s="20"/>
      <c r="I103" s="24" t="s">
        <v>220</v>
      </c>
      <c r="J103" s="24"/>
      <c r="K103" s="24"/>
      <c r="L103" s="14">
        <f>C103*C101</f>
        <v>158.5</v>
      </c>
      <c r="M103" s="1">
        <f>E103*C101</f>
        <v>273.39999999999998</v>
      </c>
      <c r="N103" s="1">
        <f>IF(D103,L103/D103,0)</f>
        <v>14.101423487544483</v>
      </c>
      <c r="O103" s="15">
        <f>L103-N103</f>
        <v>144.39857651245552</v>
      </c>
      <c r="P103" s="14">
        <f>IF(AND(F103&lt;&gt;0,C101&lt;&gt;0),O103/M103*F103/IF(G103,G103,1),0)</f>
        <v>176.93314971350622</v>
      </c>
      <c r="Q103" s="1">
        <f>SUM(L103:L107)</f>
        <v>341.5</v>
      </c>
      <c r="R103" s="15">
        <f>N103+Q104</f>
        <v>64.254733096085403</v>
      </c>
      <c r="S103" s="14">
        <f>N103+H103*O103</f>
        <v>14.101423487544483</v>
      </c>
      <c r="T103" s="1">
        <f>IF(AND(F103&lt;&gt;0,C101&lt;&gt;0),(1-H103)*O103/M103*F103/IF(G103,G103,1),0)</f>
        <v>176.93314971350622</v>
      </c>
      <c r="U103" s="1">
        <f>SUM(L103:L107)</f>
        <v>341.5</v>
      </c>
      <c r="V103" s="1">
        <f>S103+U104</f>
        <v>64.254733096085403</v>
      </c>
    </row>
    <row r="104" spans="1:22">
      <c r="A104" s="47"/>
      <c r="B104" s="27">
        <v>1</v>
      </c>
      <c r="C104" s="5">
        <v>157.5</v>
      </c>
      <c r="D104" s="1">
        <v>10.94</v>
      </c>
      <c r="E104" s="1">
        <v>273.39999999999998</v>
      </c>
      <c r="F104" s="1">
        <v>335</v>
      </c>
      <c r="G104" s="5">
        <v>0.92</v>
      </c>
      <c r="H104" s="21"/>
      <c r="I104" s="30" t="s">
        <v>222</v>
      </c>
      <c r="J104" s="30"/>
      <c r="K104" s="30"/>
      <c r="L104" s="14">
        <f>C104</f>
        <v>157.5</v>
      </c>
      <c r="M104" s="1">
        <f>E104</f>
        <v>273.39999999999998</v>
      </c>
      <c r="N104" s="1">
        <f>IF(D104,L104/D104,0)</f>
        <v>14.396709323583181</v>
      </c>
      <c r="O104" s="15">
        <f>L104-N104</f>
        <v>143.1032906764168</v>
      </c>
      <c r="P104" s="14">
        <f t="shared" ref="P104:P107" si="30">IF(F104,O104/M104*F104/IF(G104,G104,1),0)</f>
        <v>190.59350202203981</v>
      </c>
      <c r="Q104" s="1">
        <f>IF(F104,SUM(L104:L107)-P103*M104/F104*IF(G104,G104,1),0)</f>
        <v>50.153309608540923</v>
      </c>
      <c r="R104" s="15">
        <f>N104+Q105</f>
        <v>39.896709323583181</v>
      </c>
      <c r="S104" s="14">
        <f>N104+H104*O104</f>
        <v>14.396709323583181</v>
      </c>
      <c r="T104" s="1">
        <f>IF(F104,(1-H104)*O104/M104*F104/IF(G104,G104,1),0)</f>
        <v>190.59350202203981</v>
      </c>
      <c r="U104" s="1">
        <f>IF(F104,SUM(L104:L107)-T103*M104/F104*IF(G104,G104,1),0)</f>
        <v>50.153309608540923</v>
      </c>
      <c r="V104" s="1">
        <f>S104+U105</f>
        <v>39.896709323583181</v>
      </c>
    </row>
    <row r="105" spans="1:22">
      <c r="A105" s="47"/>
      <c r="B105" s="27">
        <v>2</v>
      </c>
      <c r="C105" s="5">
        <v>25.5</v>
      </c>
      <c r="D105" s="1">
        <v>7.5</v>
      </c>
      <c r="E105" s="1">
        <v>20</v>
      </c>
      <c r="F105" s="1">
        <v>442</v>
      </c>
      <c r="G105" s="5"/>
      <c r="H105" s="21"/>
      <c r="I105" s="30" t="s">
        <v>224</v>
      </c>
      <c r="J105" s="30"/>
      <c r="K105" s="30"/>
      <c r="L105" s="14">
        <f>C105</f>
        <v>25.5</v>
      </c>
      <c r="M105" s="1">
        <f>E105</f>
        <v>20</v>
      </c>
      <c r="N105" s="1">
        <f>IF(D105,L105/D105,0)</f>
        <v>3.4</v>
      </c>
      <c r="O105" s="15">
        <f>L105-N105</f>
        <v>22.1</v>
      </c>
      <c r="P105" s="14">
        <f t="shared" si="30"/>
        <v>488.40999999999997</v>
      </c>
      <c r="Q105" s="1">
        <f>SUM(L105:L107)</f>
        <v>25.5</v>
      </c>
      <c r="R105" s="15">
        <f>N105+Q106</f>
        <v>3.4</v>
      </c>
      <c r="S105" s="14">
        <f>N105+H105*O105</f>
        <v>3.4</v>
      </c>
      <c r="T105" s="1">
        <f t="shared" ref="T105:T107" si="31">IF(F105,(1-H105)*O105/M105*F105/IF(G105,G105,1),0)</f>
        <v>488.40999999999997</v>
      </c>
      <c r="U105" s="1">
        <f>SUM(L105:L107)</f>
        <v>25.5</v>
      </c>
      <c r="V105" s="1">
        <f>S105+U106</f>
        <v>3.4</v>
      </c>
    </row>
    <row r="106" spans="1:22">
      <c r="A106" s="33" t="s">
        <v>45</v>
      </c>
      <c r="B106" s="27">
        <v>3</v>
      </c>
      <c r="C106" s="5"/>
      <c r="D106" s="1"/>
      <c r="E106" s="1"/>
      <c r="F106" s="1"/>
      <c r="G106" s="5"/>
      <c r="H106" s="21"/>
      <c r="I106" s="30"/>
      <c r="J106" s="30"/>
      <c r="K106" s="30"/>
      <c r="L106" s="14">
        <f>C106</f>
        <v>0</v>
      </c>
      <c r="M106" s="1">
        <f>E106</f>
        <v>0</v>
      </c>
      <c r="N106" s="1">
        <f>IF(D106,L106/D106,0)</f>
        <v>0</v>
      </c>
      <c r="O106" s="15">
        <f>L106-N106</f>
        <v>0</v>
      </c>
      <c r="P106" s="14">
        <f t="shared" si="30"/>
        <v>0</v>
      </c>
      <c r="Q106" s="1">
        <f>SUM(L106:L107)</f>
        <v>0</v>
      </c>
      <c r="R106" s="15">
        <f>N106+Q107</f>
        <v>0</v>
      </c>
      <c r="S106" s="14">
        <f>N106+H106*O106</f>
        <v>0</v>
      </c>
      <c r="T106" s="1">
        <f t="shared" si="31"/>
        <v>0</v>
      </c>
      <c r="U106" s="1">
        <f>SUM(L106:L107)</f>
        <v>0</v>
      </c>
      <c r="V106" s="1">
        <f>S106+U107</f>
        <v>0</v>
      </c>
    </row>
    <row r="107" spans="1:22" ht="15" thickBot="1">
      <c r="A107" s="40"/>
      <c r="B107" s="28">
        <v>4</v>
      </c>
      <c r="C107" s="6"/>
      <c r="D107" s="7"/>
      <c r="E107" s="7"/>
      <c r="F107" s="7"/>
      <c r="G107" s="22"/>
      <c r="H107" s="23"/>
      <c r="I107" s="24"/>
      <c r="J107" s="24"/>
      <c r="K107" s="24"/>
      <c r="L107" s="16">
        <f>C107</f>
        <v>0</v>
      </c>
      <c r="M107" s="17">
        <f>E107</f>
        <v>0</v>
      </c>
      <c r="N107" s="17">
        <f>IF(D107,L107/D107,0)</f>
        <v>0</v>
      </c>
      <c r="O107" s="18">
        <f>L107-N107</f>
        <v>0</v>
      </c>
      <c r="P107" s="14">
        <f t="shared" si="30"/>
        <v>0</v>
      </c>
      <c r="Q107" s="17">
        <f>SUM(L107:L107)</f>
        <v>0</v>
      </c>
      <c r="R107" s="18">
        <f>N107</f>
        <v>0</v>
      </c>
      <c r="S107" s="16">
        <f>N107+H107*O107</f>
        <v>0</v>
      </c>
      <c r="T107" s="17">
        <f t="shared" si="31"/>
        <v>0</v>
      </c>
      <c r="U107" s="17">
        <f>SUM(L107:L107)</f>
        <v>0</v>
      </c>
      <c r="V107" s="17">
        <f>S107</f>
        <v>0</v>
      </c>
    </row>
    <row r="108" spans="1:22" ht="15" thickBot="1">
      <c r="A108" s="47"/>
      <c r="B108" s="26" t="s">
        <v>38</v>
      </c>
      <c r="C108" s="1" t="s">
        <v>4</v>
      </c>
      <c r="D108" s="1" t="s">
        <v>28</v>
      </c>
      <c r="E108" s="1" t="s">
        <v>265</v>
      </c>
      <c r="F108" s="69" t="s">
        <v>40</v>
      </c>
      <c r="G108" s="1" t="s">
        <v>29</v>
      </c>
      <c r="H108" s="1" t="s">
        <v>23</v>
      </c>
      <c r="I108" s="12" t="s">
        <v>24</v>
      </c>
      <c r="J108" s="12" t="s">
        <v>25</v>
      </c>
      <c r="K108" s="11" t="s">
        <v>19</v>
      </c>
      <c r="L108" s="12" t="s">
        <v>26</v>
      </c>
      <c r="M108" s="12" t="s">
        <v>20</v>
      </c>
      <c r="N108" s="12" t="s">
        <v>21</v>
      </c>
      <c r="O108" s="12" t="s">
        <v>22</v>
      </c>
      <c r="P108" s="13" t="s">
        <v>27</v>
      </c>
      <c r="Q108" s="85" t="s">
        <v>42</v>
      </c>
      <c r="R108" s="85"/>
      <c r="S108" s="85"/>
      <c r="T108" s="31" t="s">
        <v>50</v>
      </c>
      <c r="U108" s="35" t="s">
        <v>47</v>
      </c>
      <c r="V108" s="36" t="s">
        <v>264</v>
      </c>
    </row>
    <row r="109" spans="1:22">
      <c r="A109" s="47"/>
      <c r="B109" s="27" t="s">
        <v>30</v>
      </c>
      <c r="C109" s="8"/>
      <c r="D109" s="1" t="str">
        <f>IF(C109,C109+Q103,"")</f>
        <v/>
      </c>
      <c r="E109" s="72" t="str">
        <f>IF(C109,C109/D109,"")</f>
        <v/>
      </c>
      <c r="F109" s="14" t="str">
        <f>IF(AND(C109&lt;&gt;"",N101&lt;&gt;""),(M103/F103*E101+M104/F104*D101)/(C109+Q103),"")</f>
        <v/>
      </c>
      <c r="G109" s="1" t="str">
        <f>IF(C109,IF(AND(F103&lt;&gt;0,C101&lt;&gt;0),M104,M104/F104*D101)/(C109+Q104),"")</f>
        <v/>
      </c>
      <c r="H109" s="1" t="str">
        <f>IF(C109,(M105)/(C109+Q105),"")</f>
        <v/>
      </c>
      <c r="I109" s="1" t="str">
        <f>IF(C109,(M106)/(C109+Q106),"")</f>
        <v/>
      </c>
      <c r="J109" s="1" t="str">
        <f>IF(C109,(M107)/(C109+Q107),"")</f>
        <v/>
      </c>
      <c r="K109" s="14" t="str">
        <f>IF(AND(C109&lt;&gt;"",N101&lt;&gt;""),9.8*N101*LN((C109+Q103)/(C109+R103)),"")</f>
        <v/>
      </c>
      <c r="L109" s="1" t="str">
        <f>IF(C109,9.8*F104*LN((C109+Q104)/(C109+R104)),"")</f>
        <v/>
      </c>
      <c r="M109" s="1" t="str">
        <f>IF(C109,9.8*F105*LN((C109+Q105)/(C109+R105)),"")</f>
        <v/>
      </c>
      <c r="N109" s="1" t="str">
        <f>IF(C109,9.8*F106*LN((C109+Q106)/(C109+R106)),"")</f>
        <v/>
      </c>
      <c r="O109" s="1" t="str">
        <f>IF(C109,9.8*F107*LN((C109+Q107)/(C109+R107)),"")</f>
        <v/>
      </c>
      <c r="P109" s="15" t="str">
        <f>IF(C109,SUM(K109:O109),"")</f>
        <v/>
      </c>
      <c r="Q109" s="1"/>
      <c r="R109" s="1"/>
      <c r="S109" s="1"/>
      <c r="T109" s="32" t="str">
        <f>IF(OR(F109&lt;1,AND(F109="",G109&lt;1)),"起飞推重比不得小于0，空天飞机除外","")</f>
        <v/>
      </c>
      <c r="U109" s="1"/>
      <c r="V109" s="1"/>
    </row>
    <row r="110" spans="1:22">
      <c r="A110" s="33" t="s">
        <v>47</v>
      </c>
      <c r="B110" s="27" t="s">
        <v>31</v>
      </c>
      <c r="C110" s="9"/>
      <c r="D110" s="1" t="str">
        <f>IF(C110,C110+Q103,"")</f>
        <v/>
      </c>
      <c r="E110" s="72" t="str">
        <f t="shared" ref="E110:E112" si="32">IF(C110,C110/D110,"")</f>
        <v/>
      </c>
      <c r="F110" s="14" t="str">
        <f>IF(AND(C110&lt;&gt;"",N101&lt;&gt;""),(M103/F103*E101+M104/F104*D101)/(C110+Q103),"")</f>
        <v/>
      </c>
      <c r="G110" s="1" t="str">
        <f>IF(C110,IF(AND(F103&lt;&gt;0,C101&lt;&gt;0),M104,M104/F104*D101)/(C110+Q104),"")</f>
        <v/>
      </c>
      <c r="H110" s="1" t="str">
        <f>IF(C110,(M105)/(C110+Q105),"")</f>
        <v/>
      </c>
      <c r="I110" s="1" t="str">
        <f>IF(C110,(M106)/(C110+Q106),"")</f>
        <v/>
      </c>
      <c r="J110" s="1" t="str">
        <f>IF(C110,(M107)/(C110+Q107),"")</f>
        <v/>
      </c>
      <c r="K110" s="14" t="str">
        <f>IF(AND(C110&lt;&gt;"",N101&lt;&gt;""),9.8*N101*LN((C110+Q103)/(C110+R103)),"")</f>
        <v/>
      </c>
      <c r="L110" s="1" t="str">
        <f>IF(C110,9.8*F104*LN((C110+Q104)/(C110+R104)),"")</f>
        <v/>
      </c>
      <c r="M110" s="1" t="str">
        <f>IF(C110,9.8*F105*LN((C110+Q105)/(C110+R105)),"")</f>
        <v/>
      </c>
      <c r="N110" s="1" t="str">
        <f>IF(C110,9.8*F106*LN((C110+Q106)/(C110+R106)),"")</f>
        <v/>
      </c>
      <c r="O110" s="1" t="str">
        <f>IF(C110,9.8*F107*LN((C110+Q107)/(C110+R107)),"")</f>
        <v/>
      </c>
      <c r="P110" s="15" t="str">
        <f>IF(C110,SUM(K110:O110),"")</f>
        <v/>
      </c>
      <c r="Q110" s="1"/>
      <c r="R110" s="1"/>
      <c r="S110" s="1"/>
      <c r="T110" s="32" t="str">
        <f t="shared" ref="T110:T112" si="33">IF(OR(F110&lt;1,AND(F110="",G110&lt;1)),"起飞推重比不得小于0，空天飞机除外","")</f>
        <v/>
      </c>
      <c r="U110" s="1"/>
      <c r="V110" s="1"/>
    </row>
    <row r="111" spans="1:22">
      <c r="A111" s="40"/>
      <c r="B111" s="27" t="s">
        <v>36</v>
      </c>
      <c r="C111" s="9"/>
      <c r="D111" s="1" t="str">
        <f>IF(C111,C111+Q103,"")</f>
        <v/>
      </c>
      <c r="E111" s="72" t="str">
        <f t="shared" si="32"/>
        <v/>
      </c>
      <c r="F111" s="14" t="str">
        <f>IF(AND(C111&lt;&gt;"",N101&lt;&gt;""),(M103/F103*E101+M104/F104*D101)/(C111+Q103),"")</f>
        <v/>
      </c>
      <c r="G111" s="1" t="str">
        <f>IF(C111,IF(AND(F103&lt;&gt;0,C101&lt;&gt;0),M104,M104/F104*D101)/(C111+Q104),"")</f>
        <v/>
      </c>
      <c r="H111" s="1" t="str">
        <f>IF(C111,(M105)/(C111+Q105),"")</f>
        <v/>
      </c>
      <c r="I111" s="1" t="str">
        <f>IF(C111,(M106)/(C111+Q106),"")</f>
        <v/>
      </c>
      <c r="J111" s="1" t="str">
        <f>IF(C111,(M107)/(C111+Q107),"")</f>
        <v/>
      </c>
      <c r="K111" s="14" t="str">
        <f>IF(AND(C111&lt;&gt;"",N101&lt;&gt;""),9.8*N101*LN((C111+Q103)/(C111+R103)),"")</f>
        <v/>
      </c>
      <c r="L111" s="1" t="str">
        <f>IF(C111,9.8*F104*LN((C111+Q104)/(C111+R104)),"")</f>
        <v/>
      </c>
      <c r="M111" s="1" t="str">
        <f>IF(C111,9.8*F105*LN((C111+Q105)/(C111+R105)),"")</f>
        <v/>
      </c>
      <c r="N111" s="1" t="str">
        <f>IF(C111,9.8*F106*LN((C111+Q106)/(C111+R106)),"")</f>
        <v/>
      </c>
      <c r="O111" s="1" t="str">
        <f>IF(C111,9.8*F107*LN((C111+Q107)/(C111+R107)),"")</f>
        <v/>
      </c>
      <c r="P111" s="15" t="str">
        <f>IF(C111,SUM(K111:O111),"")</f>
        <v/>
      </c>
      <c r="Q111" s="1"/>
      <c r="R111" s="1"/>
      <c r="S111" s="1"/>
      <c r="T111" s="32" t="str">
        <f t="shared" si="33"/>
        <v/>
      </c>
      <c r="U111" s="1"/>
      <c r="V111" s="1"/>
    </row>
    <row r="112" spans="1:22" ht="15" thickBot="1">
      <c r="A112" s="47"/>
      <c r="B112" s="28" t="s">
        <v>5</v>
      </c>
      <c r="C112" s="10">
        <v>6.4</v>
      </c>
      <c r="D112" s="1">
        <f>IF(C112,C112+Q103,"")</f>
        <v>347.9</v>
      </c>
      <c r="E112" s="72">
        <f t="shared" si="32"/>
        <v>1.8396090830698479E-2</v>
      </c>
      <c r="F112" s="14">
        <f>IF(AND(C112&lt;&gt;"",N101&lt;&gt;""),(M103/F103*E101+M104/F104*D101)/(C112+Q103),"")</f>
        <v>1.4075068749383293</v>
      </c>
      <c r="G112" s="1">
        <f>IF(C112,IF(AND(F103&lt;&gt;0,C101&lt;&gt;0),M104,M104/F104*D101)/(C112+Q104),"")</f>
        <v>4.8343766596943771</v>
      </c>
      <c r="H112" s="1">
        <f>IF(C112,(M105)/(C112+Q105),"")</f>
        <v>0.62695924764890287</v>
      </c>
      <c r="I112" s="1">
        <f>IF(C112,(M106)/(C112+Q106),"")</f>
        <v>0</v>
      </c>
      <c r="J112" s="1">
        <f>IF(C112,(M107)/(C112+Q107),"")</f>
        <v>0</v>
      </c>
      <c r="K112" s="14">
        <f>IF(AND(C112&lt;&gt;"",N101&lt;&gt;""),9.8*N101*LN((C112+Q103)/(C112+R103)),"")</f>
        <v>5233.4630699085074</v>
      </c>
      <c r="L112" s="1">
        <f>IF(C112,9.8*F104*LN((C112+Q104)/(C112+R104)),"")</f>
        <v>656.97045555172076</v>
      </c>
      <c r="M112" s="1">
        <f>IF(C112,9.8*F105*LN((C112+Q105)/(C112+R105)),"")</f>
        <v>5112.2566502133832</v>
      </c>
      <c r="N112" s="1">
        <f>IF(C112,9.8*F106*LN((C112+Q106)/(C112+R106)),"")</f>
        <v>0</v>
      </c>
      <c r="O112" s="1">
        <f>IF(C112,9.8*F107*LN((C112+Q107)/(C112+R107)),"")</f>
        <v>0</v>
      </c>
      <c r="P112" s="15">
        <f>IF(C112,SUM(K112:O112),"")</f>
        <v>11002.690175673612</v>
      </c>
      <c r="Q112" s="17" t="s">
        <v>207</v>
      </c>
      <c r="R112" s="17"/>
      <c r="S112" s="17"/>
      <c r="T112" s="32" t="str">
        <f t="shared" si="33"/>
        <v/>
      </c>
      <c r="U112" s="1"/>
      <c r="V112" s="1"/>
    </row>
    <row r="113" spans="1:23" ht="15" thickBot="1">
      <c r="A113" s="33" t="s">
        <v>45</v>
      </c>
      <c r="B113" s="26" t="s">
        <v>37</v>
      </c>
      <c r="C113" s="1" t="s">
        <v>9</v>
      </c>
      <c r="D113" s="12" t="s">
        <v>28</v>
      </c>
      <c r="E113" s="12" t="s">
        <v>266</v>
      </c>
      <c r="F113" s="11" t="s">
        <v>40</v>
      </c>
      <c r="G113" s="12" t="s">
        <v>29</v>
      </c>
      <c r="H113" s="12" t="s">
        <v>23</v>
      </c>
      <c r="I113" s="12" t="s">
        <v>24</v>
      </c>
      <c r="J113" s="12" t="s">
        <v>25</v>
      </c>
      <c r="K113" s="11" t="s">
        <v>19</v>
      </c>
      <c r="L113" s="12" t="s">
        <v>26</v>
      </c>
      <c r="M113" s="12" t="s">
        <v>20</v>
      </c>
      <c r="N113" s="12" t="s">
        <v>21</v>
      </c>
      <c r="O113" s="12" t="s">
        <v>22</v>
      </c>
      <c r="P113" s="13" t="s">
        <v>27</v>
      </c>
      <c r="Q113" s="85" t="s">
        <v>42</v>
      </c>
      <c r="R113" s="85"/>
      <c r="S113" s="85"/>
      <c r="T113" s="12" t="s">
        <v>51</v>
      </c>
      <c r="U113" s="37" t="s">
        <v>45</v>
      </c>
      <c r="V113" s="38" t="s">
        <v>48</v>
      </c>
    </row>
    <row r="114" spans="1:23">
      <c r="A114" s="40"/>
      <c r="B114" s="27" t="s">
        <v>30</v>
      </c>
      <c r="C114" s="8"/>
      <c r="D114" s="1" t="str">
        <f>IF(C114,C114+Q103,"")</f>
        <v/>
      </c>
      <c r="E114" s="72" t="str">
        <f>IF(C114,C114/D114,"")</f>
        <v/>
      </c>
      <c r="F114" s="14" t="str">
        <f>IF(AND(C114&lt;&gt;"",N101&lt;&gt;""),(M103/F103*E101+M104/F104*D101)/(C114+U103),"")</f>
        <v/>
      </c>
      <c r="G114" s="1" t="str">
        <f>IF(C114,IF(AND(F103&lt;&gt;0,C101&lt;&gt;0),M104,M104/F104*D101)/(C114+U104),"")</f>
        <v/>
      </c>
      <c r="H114" s="1" t="str">
        <f>IF(C114,(M105)/(C114+U105),"")</f>
        <v/>
      </c>
      <c r="I114" s="1" t="str">
        <f>IF(C114,(M106)/(C114+U106),"")</f>
        <v/>
      </c>
      <c r="J114" s="1" t="str">
        <f>IF(C114,(M107)/(C114+U107),"")</f>
        <v/>
      </c>
      <c r="K114" s="14" t="str">
        <f>IF(AND(C114&lt;&gt;"",N101&lt;&gt;""),9.8*N101*LN((C114+U103)/(C114+V103)),"")</f>
        <v/>
      </c>
      <c r="L114" s="1" t="str">
        <f>IF(C114,9.8*F104*LN((C114+U104)/(C114+V104)),"")</f>
        <v/>
      </c>
      <c r="M114" s="1" t="str">
        <f>IF(C114,9.8*F105*LN((C114+U105)/(C114+V105)),"")</f>
        <v/>
      </c>
      <c r="N114" s="1" t="str">
        <f>IF(C114,9.8*F106*LN((C114+U106)/(C114+V106)),"")</f>
        <v/>
      </c>
      <c r="O114" s="1" t="str">
        <f>IF(C114,9.8*F107*LN((C114+U107)/(C114+V107)),"")</f>
        <v/>
      </c>
      <c r="P114" s="15" t="str">
        <f>IF(C114,SUM(K114:O114),"")</f>
        <v/>
      </c>
      <c r="Q114" s="1"/>
      <c r="R114" s="1"/>
      <c r="S114" s="1"/>
      <c r="T114" s="32" t="str">
        <f>IF(OR(F114&lt;1,AND(F114="",G114&lt;1)),"起飞推重比不得小于0，空天飞机除外","")</f>
        <v/>
      </c>
      <c r="U114" s="1"/>
      <c r="V114" s="1"/>
    </row>
    <row r="115" spans="1:23">
      <c r="A115" s="47"/>
      <c r="B115" s="27" t="s">
        <v>31</v>
      </c>
      <c r="C115" s="9"/>
      <c r="D115" s="1" t="str">
        <f>IF(C115,C115+Q103,"")</f>
        <v/>
      </c>
      <c r="E115" s="72" t="str">
        <f t="shared" ref="E115:E117" si="34">IF(C115,C115/D115,"")</f>
        <v/>
      </c>
      <c r="F115" s="14" t="str">
        <f>IF(AND(C115&lt;&gt;"",N101&lt;&gt;""),(M103/F103*E101+M104/F104*D101)/(C115+U103),"")</f>
        <v/>
      </c>
      <c r="G115" s="1" t="str">
        <f>IF(C115,IF(AND(F103&lt;&gt;0,C101&lt;&gt;0),M104,M104/F104*D101)/(C115+U104),"")</f>
        <v/>
      </c>
      <c r="H115" s="1" t="str">
        <f>IF(C115,(M105)/(C115+U105),"")</f>
        <v/>
      </c>
      <c r="I115" s="1" t="str">
        <f>IF(C115,(M106)/(C115+U106),"")</f>
        <v/>
      </c>
      <c r="J115" s="1" t="str">
        <f>IF(C115,(M107)/(C115+U107),"")</f>
        <v/>
      </c>
      <c r="K115" s="14" t="str">
        <f>IF(AND(C115&lt;&gt;"",N101&lt;&gt;""),9.8*N101*LN((C115+U103)/(C115+V103)),"")</f>
        <v/>
      </c>
      <c r="L115" s="1" t="str">
        <f>IF(C115,9.8*F104*LN((C115+U104)/(C115+V104)),"")</f>
        <v/>
      </c>
      <c r="M115" s="1" t="str">
        <f>IF(C115,9.8*F105*LN((C115+U105)/(C115+V105)),"")</f>
        <v/>
      </c>
      <c r="N115" s="1" t="str">
        <f>IF(C115,9.8*F106*LN((C115+U106)/(C115+V106)),"")</f>
        <v/>
      </c>
      <c r="O115" s="1" t="str">
        <f>IF(C115,9.8*F107*LN((C115+U107)/(C115+V107)),"")</f>
        <v/>
      </c>
      <c r="P115" s="15" t="str">
        <f>IF(C115,SUM(K115:O115),"")</f>
        <v/>
      </c>
      <c r="Q115" s="1"/>
      <c r="R115" s="1"/>
      <c r="S115" s="1"/>
      <c r="T115" s="32" t="str">
        <f t="shared" ref="T115:T117" si="35">IF(OR(F115&lt;1,AND(F115="",G115&lt;1)),"起飞推重比不得小于0，空天飞机除外","")</f>
        <v/>
      </c>
      <c r="U115" s="1"/>
      <c r="V115" s="1"/>
    </row>
    <row r="116" spans="1:23">
      <c r="A116" s="47"/>
      <c r="B116" s="27" t="s">
        <v>32</v>
      </c>
      <c r="C116" s="9"/>
      <c r="D116" s="1" t="str">
        <f>IF(C116,C116+Q103,"")</f>
        <v/>
      </c>
      <c r="E116" s="72" t="str">
        <f t="shared" si="34"/>
        <v/>
      </c>
      <c r="F116" s="14" t="str">
        <f>IF(AND(C116&lt;&gt;"",N101&lt;&gt;""),(M103/F103*E101+M104/F104*D101)/(C116+U103),"")</f>
        <v/>
      </c>
      <c r="G116" s="1" t="str">
        <f>IF(C116,IF(AND(F103&lt;&gt;0,C101&lt;&gt;0),M104,M104/F104*D101)/(C116+U104),"")</f>
        <v/>
      </c>
      <c r="H116" s="1" t="str">
        <f>IF(C116,(M105)/(C116+U105),"")</f>
        <v/>
      </c>
      <c r="I116" s="1" t="str">
        <f>IF(C116,(M106)/(C116+U106),"")</f>
        <v/>
      </c>
      <c r="J116" s="1" t="str">
        <f>IF(C116,(M107)/(C116+U107),"")</f>
        <v/>
      </c>
      <c r="K116" s="14" t="str">
        <f>IF(AND(C116&lt;&gt;"",N101&lt;&gt;""),9.8*N101*LN((C116+U103)/(C116+V103)),"")</f>
        <v/>
      </c>
      <c r="L116" s="1" t="str">
        <f>IF(C116,9.8*F104*LN((C116+U104)/(C116+V104)),"")</f>
        <v/>
      </c>
      <c r="M116" s="1" t="str">
        <f>IF(C116,9.8*F105*LN((C116+U105)/(C116+V105)),"")</f>
        <v/>
      </c>
      <c r="N116" s="1" t="str">
        <f>IF(C116,9.8*F106*LN((C116+U106)/(C116+V106)),"")</f>
        <v/>
      </c>
      <c r="O116" s="1" t="str">
        <f>IF(C116,9.8*F107*LN((C116+U107)/(C116+V107)),"")</f>
        <v/>
      </c>
      <c r="P116" s="15" t="str">
        <f>IF(C116,SUM(K116:O116),"")</f>
        <v/>
      </c>
      <c r="Q116" s="1"/>
      <c r="R116" s="1"/>
      <c r="S116" s="1"/>
      <c r="T116" s="32" t="str">
        <f t="shared" si="35"/>
        <v/>
      </c>
      <c r="U116" s="1"/>
      <c r="V116" s="1"/>
    </row>
    <row r="117" spans="1:23" ht="15" thickBot="1">
      <c r="A117" s="48" t="s">
        <v>46</v>
      </c>
      <c r="B117" s="49" t="s">
        <v>33</v>
      </c>
      <c r="C117" s="50"/>
      <c r="D117" s="25" t="str">
        <f>IF(C117,C117+Q103,"")</f>
        <v/>
      </c>
      <c r="E117" s="73" t="str">
        <f t="shared" si="34"/>
        <v/>
      </c>
      <c r="F117" s="70" t="str">
        <f>IF(AND(C117&lt;&gt;"",N101&lt;&gt;""),(M103/F103*E101+M104/F104*D101)/(C117+U103),"")</f>
        <v/>
      </c>
      <c r="G117" s="25" t="str">
        <f>IF(C117,IF(AND(F103&lt;&gt;0,C101&lt;&gt;0),M104,M104/F104*D101)/(C117+U104),"")</f>
        <v/>
      </c>
      <c r="H117" s="25" t="str">
        <f>IF(C117,(M105)/(C117+U105),"")</f>
        <v/>
      </c>
      <c r="I117" s="25" t="str">
        <f>IF(C117,(M106)/(C117+U106),"")</f>
        <v/>
      </c>
      <c r="J117" s="25" t="str">
        <f>IF(C117,(M107)/(C117+U107),"")</f>
        <v/>
      </c>
      <c r="K117" s="70" t="str">
        <f>IF(AND(C117&lt;&gt;"",N101&lt;&gt;""),9.8*N101*LN((C117+U103)/(C117+V103)),"")</f>
        <v/>
      </c>
      <c r="L117" s="25" t="str">
        <f>IF(C117,9.8*F104*LN((C117+U104)/(C117+V104)),"")</f>
        <v/>
      </c>
      <c r="M117" s="25" t="str">
        <f>IF(C117,9.8*F105*LN((C117+U105)/(C117+V105)),"")</f>
        <v/>
      </c>
      <c r="N117" s="25" t="str">
        <f>IF(C117,9.8*F106*LN((C117+U106)/(C117+V106)),"")</f>
        <v/>
      </c>
      <c r="O117" s="25" t="str">
        <f>IF(C117,9.8*F107*LN((C117+U107)/(C117+V107)),"")</f>
        <v/>
      </c>
      <c r="P117" s="71" t="str">
        <f>IF(C117,SUM(K117:O117),"")</f>
        <v/>
      </c>
      <c r="Q117" s="25"/>
      <c r="R117" s="25"/>
      <c r="S117" s="25"/>
      <c r="T117" s="51" t="str">
        <f t="shared" si="35"/>
        <v/>
      </c>
      <c r="U117" s="25"/>
      <c r="V117" s="25"/>
    </row>
    <row r="118" spans="1:23" ht="15" thickBot="1"/>
    <row r="119" spans="1:23" ht="15" thickBot="1">
      <c r="A119" s="52" t="s">
        <v>179</v>
      </c>
      <c r="B119" s="52"/>
      <c r="C119" s="29" t="s">
        <v>0</v>
      </c>
      <c r="D119" s="90" t="s">
        <v>41</v>
      </c>
      <c r="E119" s="90"/>
      <c r="F119" s="43"/>
      <c r="G119" s="43" t="s">
        <v>183</v>
      </c>
      <c r="H119" s="43"/>
      <c r="I119" s="86" t="s">
        <v>42</v>
      </c>
      <c r="J119" s="86"/>
      <c r="K119" s="86"/>
      <c r="L119" s="54" t="s">
        <v>70</v>
      </c>
      <c r="M119" s="86" t="s">
        <v>71</v>
      </c>
      <c r="N119" s="86"/>
      <c r="O119" s="87"/>
      <c r="P119" s="29" t="s">
        <v>49</v>
      </c>
      <c r="Q119" s="34" t="str">
        <f>IF(OR(P123&lt;P122,T123&lt;T122),"芯级燃烧时间不得小于助推燃烧时间！","")</f>
        <v/>
      </c>
      <c r="R119" s="44"/>
      <c r="S119" s="45"/>
      <c r="T119" s="29"/>
      <c r="U119" s="46" t="s">
        <v>45</v>
      </c>
      <c r="V119" s="46" t="s">
        <v>48</v>
      </c>
    </row>
    <row r="120" spans="1:23" ht="15" thickBot="1">
      <c r="A120" s="40" t="s">
        <v>180</v>
      </c>
      <c r="B120" s="39"/>
      <c r="C120" s="2">
        <v>4</v>
      </c>
      <c r="D120" s="2">
        <v>260.8</v>
      </c>
      <c r="E120" s="2">
        <v>260.8</v>
      </c>
      <c r="F120" s="41"/>
      <c r="G120" s="42"/>
      <c r="H120" s="42"/>
      <c r="I120" s="24" t="s">
        <v>199</v>
      </c>
      <c r="J120" s="24"/>
      <c r="K120" s="24"/>
      <c r="L120" s="55">
        <f>IFERROR(IF(AND(F122&lt;&gt;0,C120&lt;&gt;0),M122/F122*E120+M123/F123*D120,M123/F123*D120),0)</f>
        <v>604.75900355871886</v>
      </c>
      <c r="M120" s="53" t="s">
        <v>45</v>
      </c>
      <c r="N120" s="17">
        <f>IF(AND(F122&lt;&gt;0,C120&lt;&gt;0),(M122+M123)/(M122/F122+M123/F123),"")</f>
        <v>281</v>
      </c>
      <c r="O120" s="56" t="s">
        <v>46</v>
      </c>
      <c r="P120" s="89" t="s">
        <v>17</v>
      </c>
      <c r="Q120" s="89"/>
      <c r="R120" s="91"/>
      <c r="S120" s="88" t="s">
        <v>18</v>
      </c>
      <c r="T120" s="89"/>
      <c r="U120" s="89"/>
      <c r="V120" s="89"/>
    </row>
    <row r="121" spans="1:23" ht="15" thickBot="1">
      <c r="A121" s="33" t="s">
        <v>45</v>
      </c>
      <c r="B121" s="26" t="s">
        <v>39</v>
      </c>
      <c r="C121" s="1" t="s">
        <v>1</v>
      </c>
      <c r="D121" s="1" t="s">
        <v>2</v>
      </c>
      <c r="E121" s="1" t="s">
        <v>7</v>
      </c>
      <c r="F121" s="1" t="s">
        <v>8</v>
      </c>
      <c r="G121" s="1" t="s">
        <v>43</v>
      </c>
      <c r="H121" s="1" t="s">
        <v>44</v>
      </c>
      <c r="I121" s="60" t="str">
        <f>HYPERLINK(":\Reference\长征系列运载火箭介绍：长征三号系列(八).pdf","长征系列运载火箭介绍：长征三号系列(八).pdf")</f>
        <v>长征系列运载火箭介绍：长征三号系列(八).pdf</v>
      </c>
      <c r="J121" s="24"/>
      <c r="K121" s="24"/>
      <c r="L121" s="11" t="s">
        <v>6</v>
      </c>
      <c r="M121" s="12" t="s">
        <v>69</v>
      </c>
      <c r="N121" s="12" t="s">
        <v>15</v>
      </c>
      <c r="O121" s="13" t="s">
        <v>14</v>
      </c>
      <c r="P121" s="14" t="s">
        <v>12</v>
      </c>
      <c r="Q121" s="1" t="s">
        <v>10</v>
      </c>
      <c r="R121" s="15" t="s">
        <v>11</v>
      </c>
      <c r="S121" s="14" t="s">
        <v>13</v>
      </c>
      <c r="T121" s="1" t="s">
        <v>16</v>
      </c>
      <c r="U121" s="1" t="s">
        <v>10</v>
      </c>
      <c r="V121" s="1" t="s">
        <v>11</v>
      </c>
    </row>
    <row r="122" spans="1:23">
      <c r="A122" s="40"/>
      <c r="B122" s="27" t="s">
        <v>3</v>
      </c>
      <c r="C122" s="3">
        <v>40.659999999999997</v>
      </c>
      <c r="D122" s="4">
        <v>14.52</v>
      </c>
      <c r="E122" s="4">
        <v>81.5</v>
      </c>
      <c r="F122" s="4">
        <v>281</v>
      </c>
      <c r="G122" s="19"/>
      <c r="H122" s="20"/>
      <c r="I122" s="24" t="s">
        <v>232</v>
      </c>
      <c r="J122" s="24"/>
      <c r="K122" s="24"/>
      <c r="L122" s="14">
        <f>C122*C120</f>
        <v>162.63999999999999</v>
      </c>
      <c r="M122" s="1">
        <f>E122*C120</f>
        <v>326</v>
      </c>
      <c r="N122" s="1">
        <f>IF(D122,L122/D122,0)</f>
        <v>11.201101928374655</v>
      </c>
      <c r="O122" s="15">
        <f>L122-N122</f>
        <v>151.43889807162532</v>
      </c>
      <c r="P122" s="14">
        <f>IF(AND(F122&lt;&gt;0,C120&lt;&gt;0),O122/M122*F122/IF(G122,G122,1),0)</f>
        <v>130.53475569977519</v>
      </c>
      <c r="Q122" s="1">
        <f>SUM(L122:L126)</f>
        <v>417.44</v>
      </c>
      <c r="R122" s="15">
        <f>N122+Q123</f>
        <v>114.74801845561022</v>
      </c>
      <c r="S122" s="14">
        <f>N122+H122*O122</f>
        <v>11.201101928374655</v>
      </c>
      <c r="T122" s="1">
        <f>IF(AND(F122&lt;&gt;0,C120&lt;&gt;0),(1-H122)*O122/M122*F122/IF(G122,G122,1),0)</f>
        <v>130.53475569977519</v>
      </c>
      <c r="U122" s="1">
        <f>SUM(L122:L126)</f>
        <v>417.44</v>
      </c>
      <c r="V122" s="1">
        <f>S122+U123</f>
        <v>114.74801845561022</v>
      </c>
    </row>
    <row r="123" spans="1:23">
      <c r="A123" s="47"/>
      <c r="B123" s="27">
        <v>1</v>
      </c>
      <c r="C123" s="5">
        <v>183.9</v>
      </c>
      <c r="D123" s="1">
        <v>15.17</v>
      </c>
      <c r="E123" s="1">
        <v>325.60000000000002</v>
      </c>
      <c r="F123" s="1">
        <v>281</v>
      </c>
      <c r="G123" s="5"/>
      <c r="H123" s="21"/>
      <c r="I123" s="30" t="s">
        <v>230</v>
      </c>
      <c r="J123" s="30"/>
      <c r="K123" s="30"/>
      <c r="L123" s="14">
        <f>C123</f>
        <v>183.9</v>
      </c>
      <c r="M123" s="1">
        <f>E123</f>
        <v>325.60000000000002</v>
      </c>
      <c r="N123" s="1">
        <f>IF(D123,L123/D123,0)</f>
        <v>12.122610415293343</v>
      </c>
      <c r="O123" s="15">
        <f>L123-N123</f>
        <v>171.77738958470667</v>
      </c>
      <c r="P123" s="14">
        <f t="shared" ref="P123:P126" si="36">IF(F123,O123/M123*F123/IF(G123,G123,1),0)</f>
        <v>148.24768572881624</v>
      </c>
      <c r="Q123" s="1">
        <f>IF(F123,SUM(L123:L126)-P122*M123/F123*IF(G123,G123,1),0)</f>
        <v>103.54691652723557</v>
      </c>
      <c r="R123" s="15">
        <f>N123+Q124</f>
        <v>83.022610415293343</v>
      </c>
      <c r="S123" s="14">
        <f>N123+H123*O123</f>
        <v>12.122610415293343</v>
      </c>
      <c r="T123" s="1">
        <f>IF(F123,(1-H123)*O123/M123*F123/IF(G123,G123,1),0)</f>
        <v>148.24768572881624</v>
      </c>
      <c r="U123" s="1">
        <f>IF(F123,SUM(L123:L126)-T122*M123/F123*IF(G123,G123,1),0)</f>
        <v>103.54691652723557</v>
      </c>
      <c r="V123" s="1">
        <f>S123+U124</f>
        <v>83.022610415293343</v>
      </c>
    </row>
    <row r="124" spans="1:23">
      <c r="A124" s="47"/>
      <c r="B124" s="27">
        <v>2</v>
      </c>
      <c r="C124" s="5">
        <v>49.6</v>
      </c>
      <c r="D124" s="1">
        <v>12.89</v>
      </c>
      <c r="E124" s="1">
        <v>80.510000000000005</v>
      </c>
      <c r="F124" s="1">
        <v>297.7</v>
      </c>
      <c r="G124" s="5"/>
      <c r="H124" s="21"/>
      <c r="I124" s="30" t="s">
        <v>227</v>
      </c>
      <c r="J124" s="30"/>
      <c r="K124" s="30"/>
      <c r="L124" s="14">
        <f>C124</f>
        <v>49.6</v>
      </c>
      <c r="M124" s="1">
        <f>E124</f>
        <v>80.510000000000005</v>
      </c>
      <c r="N124" s="1">
        <f>IF(D124,L124/D124,0)</f>
        <v>3.8479441427463148</v>
      </c>
      <c r="O124" s="15">
        <f>L124-N124</f>
        <v>45.752055857253687</v>
      </c>
      <c r="P124" s="14">
        <f t="shared" si="36"/>
        <v>169.17633869959533</v>
      </c>
      <c r="Q124" s="1">
        <f>SUM(L124:L126)</f>
        <v>70.900000000000006</v>
      </c>
      <c r="R124" s="15">
        <f>N124+Q125</f>
        <v>25.147944142746315</v>
      </c>
      <c r="S124" s="14">
        <f>N124+H124*O124</f>
        <v>3.8479441427463148</v>
      </c>
      <c r="T124" s="1">
        <f t="shared" ref="T124:T126" si="37">IF(F124,(1-H124)*O124/M124*F124/IF(G124,G124,1),0)</f>
        <v>169.17633869959533</v>
      </c>
      <c r="U124" s="1">
        <f>SUM(L124:L126)</f>
        <v>70.900000000000006</v>
      </c>
      <c r="V124" s="1">
        <f>S124+U125</f>
        <v>25.147944142746315</v>
      </c>
    </row>
    <row r="125" spans="1:23">
      <c r="A125" s="33" t="s">
        <v>45</v>
      </c>
      <c r="B125" s="27">
        <v>3</v>
      </c>
      <c r="C125" s="5">
        <v>21.3</v>
      </c>
      <c r="D125" s="1">
        <v>6.96</v>
      </c>
      <c r="E125" s="1">
        <v>16.899999999999999</v>
      </c>
      <c r="F125" s="1">
        <v>438</v>
      </c>
      <c r="G125" s="5"/>
      <c r="H125" s="21"/>
      <c r="I125" s="30" t="s">
        <v>233</v>
      </c>
      <c r="J125" s="30"/>
      <c r="K125" s="30"/>
      <c r="L125" s="14">
        <f>C125</f>
        <v>21.3</v>
      </c>
      <c r="M125" s="1">
        <f>E125</f>
        <v>16.899999999999999</v>
      </c>
      <c r="N125" s="1">
        <f>IF(D125,L125/D125,0)</f>
        <v>3.0603448275862069</v>
      </c>
      <c r="O125" s="15">
        <f>L125-N125</f>
        <v>18.239655172413794</v>
      </c>
      <c r="P125" s="14">
        <f t="shared" si="36"/>
        <v>472.72005713119779</v>
      </c>
      <c r="Q125" s="1">
        <f>SUM(L125:L126)</f>
        <v>21.3</v>
      </c>
      <c r="R125" s="15">
        <f>N125+Q126</f>
        <v>3.0603448275862069</v>
      </c>
      <c r="S125" s="14">
        <f>N125+H125*O125</f>
        <v>3.0603448275862069</v>
      </c>
      <c r="T125" s="1">
        <f t="shared" si="37"/>
        <v>472.72005713119779</v>
      </c>
      <c r="U125" s="1">
        <f>SUM(L125:L126)</f>
        <v>21.3</v>
      </c>
      <c r="V125" s="1">
        <f>S125+U126</f>
        <v>3.0603448275862069</v>
      </c>
    </row>
    <row r="126" spans="1:23" ht="15" thickBot="1">
      <c r="A126" s="40"/>
      <c r="B126" s="28">
        <v>4</v>
      </c>
      <c r="C126" s="6"/>
      <c r="D126" s="7"/>
      <c r="E126" s="7"/>
      <c r="F126" s="7"/>
      <c r="G126" s="22"/>
      <c r="H126" s="23"/>
      <c r="I126" s="24"/>
      <c r="J126" s="24"/>
      <c r="K126" s="24"/>
      <c r="L126" s="16">
        <f>C126</f>
        <v>0</v>
      </c>
      <c r="M126" s="17">
        <f>E126</f>
        <v>0</v>
      </c>
      <c r="N126" s="17">
        <f>IF(D126,L126/D126,0)</f>
        <v>0</v>
      </c>
      <c r="O126" s="18">
        <f>L126-N126</f>
        <v>0</v>
      </c>
      <c r="P126" s="14">
        <f t="shared" si="36"/>
        <v>0</v>
      </c>
      <c r="Q126" s="17">
        <f>SUM(L126:L126)</f>
        <v>0</v>
      </c>
      <c r="R126" s="18">
        <f>N126</f>
        <v>0</v>
      </c>
      <c r="S126" s="16">
        <f>N126+H126*O126</f>
        <v>0</v>
      </c>
      <c r="T126" s="17">
        <f t="shared" si="37"/>
        <v>0</v>
      </c>
      <c r="U126" s="17">
        <f>SUM(L126:L126)</f>
        <v>0</v>
      </c>
      <c r="V126" s="17">
        <f>S126</f>
        <v>0</v>
      </c>
    </row>
    <row r="127" spans="1:23" ht="15" thickBot="1">
      <c r="A127" s="47"/>
      <c r="B127" s="26" t="s">
        <v>38</v>
      </c>
      <c r="C127" s="1" t="s">
        <v>4</v>
      </c>
      <c r="D127" s="1" t="s">
        <v>28</v>
      </c>
      <c r="E127" s="1" t="s">
        <v>265</v>
      </c>
      <c r="F127" s="69" t="s">
        <v>40</v>
      </c>
      <c r="G127" s="1" t="s">
        <v>29</v>
      </c>
      <c r="H127" s="1" t="s">
        <v>23</v>
      </c>
      <c r="I127" s="12" t="s">
        <v>24</v>
      </c>
      <c r="J127" s="12" t="s">
        <v>25</v>
      </c>
      <c r="K127" s="11" t="s">
        <v>19</v>
      </c>
      <c r="L127" s="12" t="s">
        <v>26</v>
      </c>
      <c r="M127" s="12" t="s">
        <v>20</v>
      </c>
      <c r="N127" s="12" t="s">
        <v>21</v>
      </c>
      <c r="O127" s="12" t="s">
        <v>22</v>
      </c>
      <c r="P127" s="13" t="s">
        <v>27</v>
      </c>
      <c r="Q127" s="85" t="s">
        <v>42</v>
      </c>
      <c r="R127" s="85"/>
      <c r="S127" s="85"/>
      <c r="T127" s="31" t="s">
        <v>50</v>
      </c>
      <c r="U127" s="35" t="s">
        <v>47</v>
      </c>
      <c r="V127" s="36" t="s">
        <v>264</v>
      </c>
      <c r="W127" s="1"/>
    </row>
    <row r="128" spans="1:23">
      <c r="A128" s="47"/>
      <c r="B128" s="27" t="s">
        <v>30</v>
      </c>
      <c r="C128" s="8"/>
      <c r="D128" s="1" t="str">
        <f>IF(C128,C128+Q122,"")</f>
        <v/>
      </c>
      <c r="E128" s="72" t="str">
        <f>IF(C128,C128/D128,"")</f>
        <v/>
      </c>
      <c r="F128" s="14" t="str">
        <f>IF(AND(C128&lt;&gt;"",N120&lt;&gt;""),(M122/F122*E120+M123/F123*D120)/(C128+Q122),"")</f>
        <v/>
      </c>
      <c r="G128" s="1" t="str">
        <f>IF(C128,IF(AND(F122&lt;&gt;0,C120&lt;&gt;0),M123,M123/F123*D120)/(C128+Q123),"")</f>
        <v/>
      </c>
      <c r="H128" s="1" t="str">
        <f>IF(C128,(M124)/(C128+Q124),"")</f>
        <v/>
      </c>
      <c r="I128" s="1" t="str">
        <f>IF(C128,(M125)/(C128+Q125),"")</f>
        <v/>
      </c>
      <c r="J128" s="1" t="str">
        <f>IF(C128,(M126)/(C128+Q126),"")</f>
        <v/>
      </c>
      <c r="K128" s="14" t="str">
        <f>IF(AND(C128&lt;&gt;"",N120&lt;&gt;""),9.8*N120*LN((C128+Q122)/(C128+R122)),"")</f>
        <v/>
      </c>
      <c r="L128" s="1" t="str">
        <f>IF(C128,9.8*F123*LN((C128+Q123)/(C128+R123)),"")</f>
        <v/>
      </c>
      <c r="M128" s="1" t="str">
        <f>IF(C128,9.8*F124*LN((C128+Q124)/(C128+R124)),"")</f>
        <v/>
      </c>
      <c r="N128" s="1" t="str">
        <f>IF(C128,9.8*F125*LN((C128+Q125)/(C128+R125)),"")</f>
        <v/>
      </c>
      <c r="O128" s="1" t="str">
        <f>IF(C128,9.8*F126*LN((C128+Q126)/(C128+R126)),"")</f>
        <v/>
      </c>
      <c r="P128" s="15" t="str">
        <f>IF(C128,SUM(K128:O128),"")</f>
        <v/>
      </c>
      <c r="Q128" s="1"/>
      <c r="R128" s="1"/>
      <c r="S128" s="1"/>
      <c r="T128" s="32" t="str">
        <f>IF(OR(F128&lt;1,AND(F128="",G128&lt;1)),"起飞推重比不得小于0，空天飞机除外","")</f>
        <v/>
      </c>
      <c r="U128" s="1"/>
      <c r="V128" s="1"/>
    </row>
    <row r="129" spans="1:22">
      <c r="A129" s="33" t="s">
        <v>47</v>
      </c>
      <c r="B129" s="27" t="s">
        <v>31</v>
      </c>
      <c r="C129" s="9">
        <v>5</v>
      </c>
      <c r="D129" s="1">
        <f>IF(C129,C129+Q122,"")</f>
        <v>422.44</v>
      </c>
      <c r="E129" s="72">
        <f t="shared" ref="E129:E131" si="38">IF(C129,C129/D129,"")</f>
        <v>1.1836000378752012E-2</v>
      </c>
      <c r="F129" s="14">
        <f>IF(AND(C129&lt;&gt;"",N120&lt;&gt;""),(M122/F122*E120+M123/F123*D120)/(C129+Q122),"")</f>
        <v>1.4315855590349371</v>
      </c>
      <c r="G129" s="1">
        <f>IF(C129,IF(AND(F122&lt;&gt;0,C120&lt;&gt;0),M123,M123/F123*D120)/(C129+Q123),"")</f>
        <v>2.9996245901494913</v>
      </c>
      <c r="H129" s="1">
        <f>IF(C129,(M124)/(C129+Q124),"")</f>
        <v>1.060737812911726</v>
      </c>
      <c r="I129" s="1">
        <f>IF(C129,(M125)/(C129+Q125),"")</f>
        <v>0.64258555133079842</v>
      </c>
      <c r="J129" s="1">
        <f>IF(C129,(M126)/(C129+Q126),"")</f>
        <v>0</v>
      </c>
      <c r="K129" s="14">
        <f>IF(AND(C129&lt;&gt;"",N120&lt;&gt;""),9.8*N120*LN((C129+Q122)/(C129+R122)),"")</f>
        <v>3471.599273583246</v>
      </c>
      <c r="L129" s="1">
        <f>IF(C129,9.8*F123*LN((C129+Q123)/(C129+R123)),"")</f>
        <v>577.16556004241306</v>
      </c>
      <c r="M129" s="1">
        <f>IF(C129,9.8*F124*LN((C129+Q124)/(C129+R124)),"")</f>
        <v>2693.6906755993923</v>
      </c>
      <c r="N129" s="1">
        <f>IF(C129,9.8*F125*LN((C129+Q125)/(C129+R125)),"")</f>
        <v>5076.2463285383956</v>
      </c>
      <c r="O129" s="1">
        <f>IF(C129,9.8*F126*LN((C129+Q126)/(C129+R126)),"")</f>
        <v>0</v>
      </c>
      <c r="P129" s="15">
        <f>IF(C129,SUM(K129:O129),"")</f>
        <v>11818.701837763447</v>
      </c>
      <c r="Q129" s="1" t="s">
        <v>229</v>
      </c>
      <c r="R129" s="1"/>
      <c r="S129" s="1"/>
      <c r="T129" s="32" t="str">
        <f t="shared" ref="T129:T131" si="39">IF(OR(F129&lt;1,AND(F129="",G129&lt;1)),"起飞推重比不得小于0，空天飞机除外","")</f>
        <v/>
      </c>
      <c r="U129" s="1"/>
      <c r="V129" s="1"/>
    </row>
    <row r="130" spans="1:22">
      <c r="A130" s="40"/>
      <c r="B130" s="27" t="s">
        <v>36</v>
      </c>
      <c r="C130" s="9"/>
      <c r="D130" s="1" t="str">
        <f>IF(C130,C130+Q122,"")</f>
        <v/>
      </c>
      <c r="E130" s="72" t="str">
        <f t="shared" si="38"/>
        <v/>
      </c>
      <c r="F130" s="14" t="str">
        <f>IF(AND(C130&lt;&gt;"",N120&lt;&gt;""),(M122/F122*E120+M123/F123*D120)/(C130+Q122),"")</f>
        <v/>
      </c>
      <c r="G130" s="1" t="str">
        <f>IF(C130,IF(AND(F122&lt;&gt;0,C120&lt;&gt;0),M123,M123/F123*D120)/(C130+Q123),"")</f>
        <v/>
      </c>
      <c r="H130" s="1" t="str">
        <f>IF(C130,(M124)/(C130+Q124),"")</f>
        <v/>
      </c>
      <c r="I130" s="1" t="str">
        <f>IF(C130,(M125)/(C130+Q125),"")</f>
        <v/>
      </c>
      <c r="J130" s="1" t="str">
        <f>IF(C130,(M126)/(C130+Q126),"")</f>
        <v/>
      </c>
      <c r="K130" s="14" t="str">
        <f>IF(AND(C130&lt;&gt;"",N120&lt;&gt;""),9.8*N120*LN((C130+Q122)/(C130+R122)),"")</f>
        <v/>
      </c>
      <c r="L130" s="1" t="str">
        <f>IF(C130,9.8*F123*LN((C130+Q123)/(C130+R123)),"")</f>
        <v/>
      </c>
      <c r="M130" s="1" t="str">
        <f>IF(C130,9.8*F124*LN((C130+Q124)/(C130+R124)),"")</f>
        <v/>
      </c>
      <c r="N130" s="1" t="str">
        <f>IF(C130,9.8*F125*LN((C130+Q125)/(C130+R125)),"")</f>
        <v/>
      </c>
      <c r="O130" s="1" t="str">
        <f>IF(C130,9.8*F126*LN((C130+Q126)/(C130+R126)),"")</f>
        <v/>
      </c>
      <c r="P130" s="15" t="str">
        <f>IF(C130,SUM(K130:O130),"")</f>
        <v/>
      </c>
      <c r="Q130" s="1"/>
      <c r="R130" s="1"/>
      <c r="S130" s="1"/>
      <c r="T130" s="32" t="str">
        <f t="shared" si="39"/>
        <v/>
      </c>
      <c r="U130" s="1"/>
      <c r="V130" s="1"/>
    </row>
    <row r="131" spans="1:22" ht="15" thickBot="1">
      <c r="A131" s="47"/>
      <c r="B131" s="28" t="s">
        <v>5</v>
      </c>
      <c r="C131" s="10"/>
      <c r="D131" s="1" t="str">
        <f>IF(C131,C131+Q122,"")</f>
        <v/>
      </c>
      <c r="E131" s="72" t="str">
        <f t="shared" si="38"/>
        <v/>
      </c>
      <c r="F131" s="14" t="str">
        <f>IF(AND(C131&lt;&gt;"",N120&lt;&gt;""),(M122/F122*E120+M123/F123*D120)/(C131+Q122),"")</f>
        <v/>
      </c>
      <c r="G131" s="1" t="str">
        <f>IF(C131,IF(AND(F122&lt;&gt;0,C120&lt;&gt;0),M123,M123/F123*D120)/(C131+Q123),"")</f>
        <v/>
      </c>
      <c r="H131" s="1" t="str">
        <f>IF(C131,(M124)/(C131+Q124),"")</f>
        <v/>
      </c>
      <c r="I131" s="1" t="str">
        <f>IF(C131,(M125)/(C131+Q125),"")</f>
        <v/>
      </c>
      <c r="J131" s="1" t="str">
        <f>IF(C131,(M126)/(C131+Q126),"")</f>
        <v/>
      </c>
      <c r="K131" s="14" t="str">
        <f>IF(AND(C131&lt;&gt;"",N120&lt;&gt;""),9.8*N120*LN((C131+Q122)/(C131+R122)),"")</f>
        <v/>
      </c>
      <c r="L131" s="1" t="str">
        <f>IF(C131,9.8*F123*LN((C131+Q123)/(C131+R123)),"")</f>
        <v/>
      </c>
      <c r="M131" s="1" t="str">
        <f>IF(C131,9.8*F124*LN((C131+Q124)/(C131+R124)),"")</f>
        <v/>
      </c>
      <c r="N131" s="1" t="str">
        <f>IF(C131,9.8*F125*LN((C131+Q125)/(C131+R125)),"")</f>
        <v/>
      </c>
      <c r="O131" s="1" t="str">
        <f>IF(C131,9.8*F126*LN((C131+Q126)/(C131+R126)),"")</f>
        <v/>
      </c>
      <c r="P131" s="15" t="str">
        <f>IF(C131,SUM(K131:O131),"")</f>
        <v/>
      </c>
      <c r="Q131" s="17"/>
      <c r="R131" s="17"/>
      <c r="S131" s="17"/>
      <c r="T131" s="32" t="str">
        <f t="shared" si="39"/>
        <v/>
      </c>
      <c r="U131" s="1"/>
      <c r="V131" s="1"/>
    </row>
    <row r="132" spans="1:22" ht="15" thickBot="1">
      <c r="A132" s="33" t="s">
        <v>45</v>
      </c>
      <c r="B132" s="26" t="s">
        <v>37</v>
      </c>
      <c r="C132" s="1" t="s">
        <v>9</v>
      </c>
      <c r="D132" s="12" t="s">
        <v>28</v>
      </c>
      <c r="E132" s="12" t="s">
        <v>266</v>
      </c>
      <c r="F132" s="11" t="s">
        <v>40</v>
      </c>
      <c r="G132" s="12" t="s">
        <v>29</v>
      </c>
      <c r="H132" s="12" t="s">
        <v>23</v>
      </c>
      <c r="I132" s="12" t="s">
        <v>24</v>
      </c>
      <c r="J132" s="12" t="s">
        <v>25</v>
      </c>
      <c r="K132" s="11" t="s">
        <v>19</v>
      </c>
      <c r="L132" s="12" t="s">
        <v>26</v>
      </c>
      <c r="M132" s="12" t="s">
        <v>20</v>
      </c>
      <c r="N132" s="12" t="s">
        <v>21</v>
      </c>
      <c r="O132" s="12" t="s">
        <v>22</v>
      </c>
      <c r="P132" s="13" t="s">
        <v>27</v>
      </c>
      <c r="Q132" s="85" t="s">
        <v>42</v>
      </c>
      <c r="R132" s="85"/>
      <c r="S132" s="85"/>
      <c r="T132" s="12" t="s">
        <v>51</v>
      </c>
      <c r="U132" s="37" t="s">
        <v>45</v>
      </c>
      <c r="V132" s="38" t="s">
        <v>48</v>
      </c>
    </row>
    <row r="133" spans="1:22">
      <c r="A133" s="40"/>
      <c r="B133" s="27" t="s">
        <v>30</v>
      </c>
      <c r="C133" s="8"/>
      <c r="D133" s="1" t="str">
        <f>IF(C133,C133+Q122,"")</f>
        <v/>
      </c>
      <c r="E133" s="72" t="str">
        <f>IF(C133,C133/D133,"")</f>
        <v/>
      </c>
      <c r="F133" s="14" t="str">
        <f>IF(AND(C133&lt;&gt;"",N120&lt;&gt;""),(M122/F122*E120+M123/F123*D120)/(C133+U122),"")</f>
        <v/>
      </c>
      <c r="G133" s="1" t="str">
        <f>IF(C133,IF(AND(F122&lt;&gt;0,C120&lt;&gt;0),M123,M123/F123*D120)/(C133+U123),"")</f>
        <v/>
      </c>
      <c r="H133" s="1" t="str">
        <f>IF(C133,(M124)/(C133+U124),"")</f>
        <v/>
      </c>
      <c r="I133" s="1" t="str">
        <f>IF(C133,(M125)/(C133+U125),"")</f>
        <v/>
      </c>
      <c r="J133" s="1" t="str">
        <f>IF(C133,(M126)/(C133+U126),"")</f>
        <v/>
      </c>
      <c r="K133" s="14" t="str">
        <f>IF(AND(C133&lt;&gt;"",N120&lt;&gt;""),9.8*N120*LN((C133+U122)/(C133+V122)),"")</f>
        <v/>
      </c>
      <c r="L133" s="1" t="str">
        <f>IF(C133,9.8*F123*LN((C133+U123)/(C133+V123)),"")</f>
        <v/>
      </c>
      <c r="M133" s="1" t="str">
        <f>IF(C133,9.8*F124*LN((C133+U124)/(C133+V124)),"")</f>
        <v/>
      </c>
      <c r="N133" s="1" t="str">
        <f>IF(C133,9.8*F125*LN((C133+U125)/(C133+V125)),"")</f>
        <v/>
      </c>
      <c r="O133" s="1" t="str">
        <f>IF(C133,9.8*F126*LN((C133+U126)/(C133+V126)),"")</f>
        <v/>
      </c>
      <c r="P133" s="15" t="str">
        <f>IF(C133,SUM(K133:O133),"")</f>
        <v/>
      </c>
      <c r="Q133" s="1"/>
      <c r="R133" s="1"/>
      <c r="S133" s="1"/>
      <c r="T133" s="32" t="str">
        <f>IF(OR(F133&lt;1,AND(F133="",G133&lt;1)),"起飞推重比不得小于0，空天飞机除外","")</f>
        <v/>
      </c>
      <c r="U133" s="1"/>
      <c r="V133" s="1"/>
    </row>
    <row r="134" spans="1:22">
      <c r="A134" s="47"/>
      <c r="B134" s="27" t="s">
        <v>31</v>
      </c>
      <c r="C134" s="9"/>
      <c r="D134" s="1" t="str">
        <f>IF(C134,C134+Q122,"")</f>
        <v/>
      </c>
      <c r="E134" s="72" t="str">
        <f t="shared" ref="E134:E136" si="40">IF(C134,C134/D134,"")</f>
        <v/>
      </c>
      <c r="F134" s="14" t="str">
        <f>IF(AND(C134&lt;&gt;"",N120&lt;&gt;""),(M122/F122*E120+M123/F123*D120)/(C134+U122),"")</f>
        <v/>
      </c>
      <c r="G134" s="1" t="str">
        <f>IF(C134,IF(AND(F122&lt;&gt;0,C120&lt;&gt;0),M123,M123/F123*D120)/(C134+U123),"")</f>
        <v/>
      </c>
      <c r="H134" s="1" t="str">
        <f>IF(C134,(M124)/(C134+U124),"")</f>
        <v/>
      </c>
      <c r="I134" s="1" t="str">
        <f>IF(C134,(M125)/(C134+U125),"")</f>
        <v/>
      </c>
      <c r="J134" s="1" t="str">
        <f>IF(C134,(M126)/(C134+U126),"")</f>
        <v/>
      </c>
      <c r="K134" s="14" t="str">
        <f>IF(AND(C134&lt;&gt;"",N120&lt;&gt;""),9.8*N120*LN((C134+U122)/(C134+V122)),"")</f>
        <v/>
      </c>
      <c r="L134" s="1" t="str">
        <f>IF(C134,9.8*F123*LN((C134+U123)/(C134+V123)),"")</f>
        <v/>
      </c>
      <c r="M134" s="1" t="str">
        <f>IF(C134,9.8*F124*LN((C134+U124)/(C134+V124)),"")</f>
        <v/>
      </c>
      <c r="N134" s="1" t="str">
        <f>IF(C134,9.8*F125*LN((C134+U125)/(C134+V125)),"")</f>
        <v/>
      </c>
      <c r="O134" s="1" t="str">
        <f>IF(C134,9.8*F126*LN((C134+U126)/(C134+V126)),"")</f>
        <v/>
      </c>
      <c r="P134" s="15" t="str">
        <f>IF(C134,SUM(K134:O134),"")</f>
        <v/>
      </c>
      <c r="Q134" s="1"/>
      <c r="R134" s="1"/>
      <c r="S134" s="1"/>
      <c r="T134" s="32" t="str">
        <f t="shared" ref="T134:T136" si="41">IF(OR(F134&lt;1,AND(F134="",G134&lt;1)),"起飞推重比不得小于0，空天飞机除外","")</f>
        <v/>
      </c>
      <c r="U134" s="1"/>
      <c r="V134" s="1"/>
    </row>
    <row r="135" spans="1:22">
      <c r="A135" s="47"/>
      <c r="B135" s="27" t="s">
        <v>32</v>
      </c>
      <c r="C135" s="9"/>
      <c r="D135" s="1" t="str">
        <f>IF(C135,C135+Q122,"")</f>
        <v/>
      </c>
      <c r="E135" s="72" t="str">
        <f t="shared" si="40"/>
        <v/>
      </c>
      <c r="F135" s="14" t="str">
        <f>IF(AND(C135&lt;&gt;"",N120&lt;&gt;""),(M122/F122*E120+M123/F123*D120)/(C135+U122),"")</f>
        <v/>
      </c>
      <c r="G135" s="1" t="str">
        <f>IF(C135,IF(AND(F122&lt;&gt;0,C120&lt;&gt;0),M123,M123/F123*D120)/(C135+U123),"")</f>
        <v/>
      </c>
      <c r="H135" s="1" t="str">
        <f>IF(C135,(M124)/(C135+U124),"")</f>
        <v/>
      </c>
      <c r="I135" s="1" t="str">
        <f>IF(C135,(M125)/(C135+U125),"")</f>
        <v/>
      </c>
      <c r="J135" s="1" t="str">
        <f>IF(C135,(M126)/(C135+U126),"")</f>
        <v/>
      </c>
      <c r="K135" s="14" t="str">
        <f>IF(AND(C135&lt;&gt;"",N120&lt;&gt;""),9.8*N120*LN((C135+U122)/(C135+V122)),"")</f>
        <v/>
      </c>
      <c r="L135" s="1" t="str">
        <f>IF(C135,9.8*F123*LN((C135+U123)/(C135+V123)),"")</f>
        <v/>
      </c>
      <c r="M135" s="1" t="str">
        <f>IF(C135,9.8*F124*LN((C135+U124)/(C135+V124)),"")</f>
        <v/>
      </c>
      <c r="N135" s="1" t="str">
        <f>IF(C135,9.8*F125*LN((C135+U125)/(C135+V125)),"")</f>
        <v/>
      </c>
      <c r="O135" s="1" t="str">
        <f>IF(C135,9.8*F126*LN((C135+U126)/(C135+V126)),"")</f>
        <v/>
      </c>
      <c r="P135" s="15" t="str">
        <f>IF(C135,SUM(K135:O135),"")</f>
        <v/>
      </c>
      <c r="Q135" s="1"/>
      <c r="R135" s="1"/>
      <c r="S135" s="1"/>
      <c r="T135" s="32" t="str">
        <f t="shared" si="41"/>
        <v/>
      </c>
      <c r="U135" s="1"/>
      <c r="V135" s="1"/>
    </row>
    <row r="136" spans="1:22" ht="15" thickBot="1">
      <c r="A136" s="48" t="s">
        <v>46</v>
      </c>
      <c r="B136" s="49" t="s">
        <v>33</v>
      </c>
      <c r="C136" s="50"/>
      <c r="D136" s="25" t="str">
        <f>IF(C136,C136+Q122,"")</f>
        <v/>
      </c>
      <c r="E136" s="73" t="str">
        <f t="shared" si="40"/>
        <v/>
      </c>
      <c r="F136" s="70" t="str">
        <f>IF(AND(C136&lt;&gt;"",N120&lt;&gt;""),(M122/F122*E120+M123/F123*D120)/(C136+U122),"")</f>
        <v/>
      </c>
      <c r="G136" s="25" t="str">
        <f>IF(C136,IF(AND(F122&lt;&gt;0,C120&lt;&gt;0),M123,M123/F123*D120)/(C136+U123),"")</f>
        <v/>
      </c>
      <c r="H136" s="25" t="str">
        <f>IF(C136,(M124)/(C136+U124),"")</f>
        <v/>
      </c>
      <c r="I136" s="25" t="str">
        <f>IF(C136,(M125)/(C136+U125),"")</f>
        <v/>
      </c>
      <c r="J136" s="25" t="str">
        <f>IF(C136,(M126)/(C136+U126),"")</f>
        <v/>
      </c>
      <c r="K136" s="70" t="str">
        <f>IF(AND(C136&lt;&gt;"",N120&lt;&gt;""),9.8*N120*LN((C136+U122)/(C136+V122)),"")</f>
        <v/>
      </c>
      <c r="L136" s="25" t="str">
        <f>IF(C136,9.8*F123*LN((C136+U123)/(C136+V123)),"")</f>
        <v/>
      </c>
      <c r="M136" s="25" t="str">
        <f>IF(C136,9.8*F124*LN((C136+U124)/(C136+V124)),"")</f>
        <v/>
      </c>
      <c r="N136" s="25" t="str">
        <f>IF(C136,9.8*F125*LN((C136+U125)/(C136+V125)),"")</f>
        <v/>
      </c>
      <c r="O136" s="25" t="str">
        <f>IF(C136,9.8*F126*LN((C136+U126)/(C136+V126)),"")</f>
        <v/>
      </c>
      <c r="P136" s="71" t="str">
        <f>IF(C136,SUM(K136:O136),"")</f>
        <v/>
      </c>
      <c r="Q136" s="25"/>
      <c r="R136" s="25"/>
      <c r="S136" s="25"/>
      <c r="T136" s="51" t="str">
        <f t="shared" si="41"/>
        <v/>
      </c>
      <c r="U136" s="25"/>
      <c r="V136" s="25"/>
    </row>
    <row r="137" spans="1:22" ht="15" thickBot="1"/>
    <row r="138" spans="1:22" ht="15" thickBot="1">
      <c r="A138" s="52" t="s">
        <v>181</v>
      </c>
      <c r="B138" s="52"/>
      <c r="C138" s="29" t="s">
        <v>0</v>
      </c>
      <c r="D138" s="90" t="s">
        <v>41</v>
      </c>
      <c r="E138" s="90"/>
      <c r="F138" s="43"/>
      <c r="G138" s="43"/>
      <c r="H138" s="43"/>
      <c r="I138" s="86" t="s">
        <v>42</v>
      </c>
      <c r="J138" s="86"/>
      <c r="K138" s="86"/>
      <c r="L138" s="54" t="s">
        <v>70</v>
      </c>
      <c r="M138" s="86" t="s">
        <v>71</v>
      </c>
      <c r="N138" s="86"/>
      <c r="O138" s="87"/>
      <c r="P138" s="29" t="s">
        <v>49</v>
      </c>
      <c r="Q138" s="34" t="str">
        <f>IF(OR(P142&lt;P141,T142&lt;T141),"芯级燃烧时间不得小于助推燃烧时间！","")</f>
        <v/>
      </c>
      <c r="R138" s="44"/>
      <c r="S138" s="45"/>
      <c r="T138" s="29"/>
      <c r="U138" s="46" t="s">
        <v>45</v>
      </c>
      <c r="V138" s="46" t="s">
        <v>48</v>
      </c>
    </row>
    <row r="139" spans="1:22" ht="15" thickBot="1">
      <c r="A139" s="40" t="s">
        <v>182</v>
      </c>
      <c r="B139" s="39"/>
      <c r="C139" s="2">
        <v>0</v>
      </c>
      <c r="D139" s="2">
        <v>259</v>
      </c>
      <c r="E139" s="2">
        <v>0</v>
      </c>
      <c r="F139" s="41"/>
      <c r="G139" s="42"/>
      <c r="H139" s="42"/>
      <c r="I139" s="24" t="s">
        <v>200</v>
      </c>
      <c r="J139" s="24"/>
      <c r="K139" s="24"/>
      <c r="L139" s="55">
        <f>IFERROR(IF(AND(F141&lt;&gt;0,C139&lt;&gt;0),M141/F141*E139+M142/F142*D139,M142/F142*D139),0)</f>
        <v>284.25480427046261</v>
      </c>
      <c r="M139" s="53" t="s">
        <v>45</v>
      </c>
      <c r="N139" s="17" t="str">
        <f>IF(AND(F141&lt;&gt;0,C139&lt;&gt;0),(M141+M142)/(M141/F141+M142/F142),"")</f>
        <v/>
      </c>
      <c r="O139" s="56" t="s">
        <v>46</v>
      </c>
      <c r="P139" s="89" t="s">
        <v>17</v>
      </c>
      <c r="Q139" s="89"/>
      <c r="R139" s="91"/>
      <c r="S139" s="88" t="s">
        <v>18</v>
      </c>
      <c r="T139" s="89"/>
      <c r="U139" s="89"/>
      <c r="V139" s="89"/>
    </row>
    <row r="140" spans="1:22" ht="15" thickBot="1">
      <c r="A140" s="33" t="s">
        <v>45</v>
      </c>
      <c r="B140" s="26" t="s">
        <v>39</v>
      </c>
      <c r="C140" s="1" t="s">
        <v>60</v>
      </c>
      <c r="D140" s="1" t="s">
        <v>61</v>
      </c>
      <c r="E140" s="1" t="s">
        <v>62</v>
      </c>
      <c r="F140" s="1" t="s">
        <v>63</v>
      </c>
      <c r="G140" s="1" t="s">
        <v>64</v>
      </c>
      <c r="H140" s="1" t="s">
        <v>65</v>
      </c>
      <c r="I140" s="60" t="str">
        <f>HYPERLINK(":\Reference\长征系列运载火箭介绍：长征二号系列(一).pdf","长征系列运载火箭介绍：长征二号系列(一).pdf")</f>
        <v>长征系列运载火箭介绍：长征二号系列(一).pdf</v>
      </c>
      <c r="J140" s="24"/>
      <c r="K140" s="24"/>
      <c r="L140" s="11" t="s">
        <v>6</v>
      </c>
      <c r="M140" s="12" t="s">
        <v>69</v>
      </c>
      <c r="N140" s="12" t="s">
        <v>15</v>
      </c>
      <c r="O140" s="13" t="s">
        <v>14</v>
      </c>
      <c r="P140" s="14" t="s">
        <v>12</v>
      </c>
      <c r="Q140" s="1" t="s">
        <v>10</v>
      </c>
      <c r="R140" s="15" t="s">
        <v>11</v>
      </c>
      <c r="S140" s="14" t="s">
        <v>13</v>
      </c>
      <c r="T140" s="1" t="s">
        <v>16</v>
      </c>
      <c r="U140" s="1" t="s">
        <v>10</v>
      </c>
      <c r="V140" s="1" t="s">
        <v>11</v>
      </c>
    </row>
    <row r="141" spans="1:22">
      <c r="A141" s="40"/>
      <c r="B141" s="27" t="s">
        <v>3</v>
      </c>
      <c r="C141" s="3"/>
      <c r="D141" s="4"/>
      <c r="E141" s="4"/>
      <c r="F141" s="4"/>
      <c r="G141" s="19"/>
      <c r="H141" s="20"/>
      <c r="I141" s="24"/>
      <c r="J141" s="24"/>
      <c r="K141" s="24"/>
      <c r="L141" s="14">
        <f>C141*C139</f>
        <v>0</v>
      </c>
      <c r="M141" s="1">
        <f>E141*C139</f>
        <v>0</v>
      </c>
      <c r="N141" s="1">
        <f>IF(D141,L141/D141,0)</f>
        <v>0</v>
      </c>
      <c r="O141" s="15">
        <f>L141-N141</f>
        <v>0</v>
      </c>
      <c r="P141" s="14">
        <f>IF(AND(F141&lt;&gt;0,C139&lt;&gt;0),O141/M141*F141/IF(G141,G141,1),0)</f>
        <v>0</v>
      </c>
      <c r="Q141" s="1">
        <f>SUM(L141:L145)</f>
        <v>190</v>
      </c>
      <c r="R141" s="15">
        <f>N141+Q142</f>
        <v>190</v>
      </c>
      <c r="S141" s="14">
        <f>N141+H141*O141</f>
        <v>0</v>
      </c>
      <c r="T141" s="1">
        <f>IF(AND(F141&lt;&gt;0,C139&lt;&gt;0),(1-H141)*O141/M141*F141/IF(G141,G141,1),0)</f>
        <v>0</v>
      </c>
      <c r="U141" s="1">
        <f>SUM(L141:L145)</f>
        <v>190</v>
      </c>
      <c r="V141" s="1">
        <f>S141+U142</f>
        <v>190</v>
      </c>
    </row>
    <row r="142" spans="1:22">
      <c r="A142" s="47"/>
      <c r="B142" s="27">
        <v>1</v>
      </c>
      <c r="C142" s="5">
        <v>151.80000000000001</v>
      </c>
      <c r="D142" s="1">
        <v>17.559999999999999</v>
      </c>
      <c r="E142" s="1">
        <v>308.39999999999998</v>
      </c>
      <c r="F142" s="1">
        <v>281</v>
      </c>
      <c r="G142" s="5">
        <v>1</v>
      </c>
      <c r="H142" s="21"/>
      <c r="I142" s="30" t="s">
        <v>196</v>
      </c>
      <c r="J142" s="30"/>
      <c r="K142" s="30"/>
      <c r="L142" s="14">
        <f>C142</f>
        <v>151.80000000000001</v>
      </c>
      <c r="M142" s="1">
        <f>E142</f>
        <v>308.39999999999998</v>
      </c>
      <c r="N142" s="1">
        <f>IF(D142,L142/D142,0)</f>
        <v>8.6446469248291589</v>
      </c>
      <c r="O142" s="15">
        <f>L142-N142</f>
        <v>143.15535307517086</v>
      </c>
      <c r="P142" s="14">
        <f t="shared" ref="P142:P145" si="42">IF(F142,O142/M142*F142/IF(G142,G142,1),0)</f>
        <v>130.43662196537943</v>
      </c>
      <c r="Q142" s="1">
        <f>IF(F142,SUM(L142:L145)-P141*M142/F142*IF(G142,G142,1),0)</f>
        <v>190</v>
      </c>
      <c r="R142" s="15">
        <f>N142+Q143</f>
        <v>46.844646924829163</v>
      </c>
      <c r="S142" s="14">
        <f>N142+H142*O142</f>
        <v>8.6446469248291589</v>
      </c>
      <c r="T142" s="1">
        <f>IF(F142,(1-H142)*O142/M142*F142/IF(G142,G142,1),0)</f>
        <v>130.43662196537943</v>
      </c>
      <c r="U142" s="1">
        <f>IF(F142,SUM(L142:L145)-T141*M142/F142*IF(G142,G142,1),0)</f>
        <v>190</v>
      </c>
      <c r="V142" s="1">
        <f>S142+U143</f>
        <v>46.844646924829163</v>
      </c>
    </row>
    <row r="143" spans="1:22">
      <c r="A143" s="47"/>
      <c r="B143" s="27">
        <v>2</v>
      </c>
      <c r="C143" s="5">
        <v>38.200000000000003</v>
      </c>
      <c r="D143" s="1">
        <v>11.93</v>
      </c>
      <c r="E143" s="1">
        <v>78.16</v>
      </c>
      <c r="F143" s="1">
        <v>288</v>
      </c>
      <c r="G143" s="5"/>
      <c r="H143" s="21"/>
      <c r="I143" s="30" t="s">
        <v>197</v>
      </c>
      <c r="J143" s="30"/>
      <c r="K143" s="30"/>
      <c r="L143" s="14">
        <f>C143</f>
        <v>38.200000000000003</v>
      </c>
      <c r="M143" s="1">
        <f>E143</f>
        <v>78.16</v>
      </c>
      <c r="N143" s="1">
        <f>IF(D143,L143/D143,0)</f>
        <v>3.2020117351215425</v>
      </c>
      <c r="O143" s="15">
        <f>L143-N143</f>
        <v>34.997988264878458</v>
      </c>
      <c r="P143" s="14">
        <f t="shared" si="42"/>
        <v>128.95881039259208</v>
      </c>
      <c r="Q143" s="1">
        <f>SUM(L143:L145)</f>
        <v>38.200000000000003</v>
      </c>
      <c r="R143" s="15">
        <f>N143+Q144</f>
        <v>3.2020117351215425</v>
      </c>
      <c r="S143" s="14">
        <f>N143+H143*O143</f>
        <v>3.2020117351215425</v>
      </c>
      <c r="T143" s="1">
        <f t="shared" ref="T143:T145" si="43">IF(F143,(1-H143)*O143/M143*F143/IF(G143,G143,1),0)</f>
        <v>128.95881039259208</v>
      </c>
      <c r="U143" s="1">
        <f>SUM(L143:L145)</f>
        <v>38.200000000000003</v>
      </c>
      <c r="V143" s="1">
        <f>S143+U144</f>
        <v>3.2020117351215425</v>
      </c>
    </row>
    <row r="144" spans="1:22">
      <c r="A144" s="33" t="s">
        <v>45</v>
      </c>
      <c r="B144" s="27">
        <v>3</v>
      </c>
      <c r="C144" s="5"/>
      <c r="D144" s="1"/>
      <c r="E144" s="1"/>
      <c r="F144" s="1"/>
      <c r="G144" s="5"/>
      <c r="H144" s="21"/>
      <c r="I144" s="30"/>
      <c r="J144" s="30"/>
      <c r="K144" s="30"/>
      <c r="L144" s="14">
        <f>C144</f>
        <v>0</v>
      </c>
      <c r="M144" s="1">
        <f>E144</f>
        <v>0</v>
      </c>
      <c r="N144" s="1">
        <f>IF(D144,L144/D144,0)</f>
        <v>0</v>
      </c>
      <c r="O144" s="15">
        <f>L144-N144</f>
        <v>0</v>
      </c>
      <c r="P144" s="14">
        <f t="shared" si="42"/>
        <v>0</v>
      </c>
      <c r="Q144" s="1">
        <f>SUM(L144:L145)</f>
        <v>0</v>
      </c>
      <c r="R144" s="15">
        <f>N144+Q145</f>
        <v>0</v>
      </c>
      <c r="S144" s="14">
        <f>N144+H144*O144</f>
        <v>0</v>
      </c>
      <c r="T144" s="1">
        <f t="shared" si="43"/>
        <v>0</v>
      </c>
      <c r="U144" s="1">
        <f>SUM(L144:L145)</f>
        <v>0</v>
      </c>
      <c r="V144" s="1">
        <f>S144+U145</f>
        <v>0</v>
      </c>
    </row>
    <row r="145" spans="1:23" ht="15" thickBot="1">
      <c r="A145" s="40"/>
      <c r="B145" s="28">
        <v>4</v>
      </c>
      <c r="C145" s="6"/>
      <c r="D145" s="7"/>
      <c r="E145" s="7"/>
      <c r="F145" s="7"/>
      <c r="G145" s="22"/>
      <c r="H145" s="23"/>
      <c r="I145" s="24"/>
      <c r="J145" s="24"/>
      <c r="K145" s="24"/>
      <c r="L145" s="16">
        <f>C145</f>
        <v>0</v>
      </c>
      <c r="M145" s="17">
        <f>E145</f>
        <v>0</v>
      </c>
      <c r="N145" s="17">
        <f>IF(D145,L145/D145,0)</f>
        <v>0</v>
      </c>
      <c r="O145" s="18">
        <f>L145-N145</f>
        <v>0</v>
      </c>
      <c r="P145" s="14">
        <f t="shared" si="42"/>
        <v>0</v>
      </c>
      <c r="Q145" s="17">
        <f>SUM(L145:L145)</f>
        <v>0</v>
      </c>
      <c r="R145" s="18">
        <f>N145</f>
        <v>0</v>
      </c>
      <c r="S145" s="16">
        <f>N145+H145*O145</f>
        <v>0</v>
      </c>
      <c r="T145" s="17">
        <f t="shared" si="43"/>
        <v>0</v>
      </c>
      <c r="U145" s="17">
        <f>SUM(L145:L145)</f>
        <v>0</v>
      </c>
      <c r="V145" s="17">
        <f>S145</f>
        <v>0</v>
      </c>
      <c r="W145" s="1"/>
    </row>
    <row r="146" spans="1:23" ht="15" thickBot="1">
      <c r="A146" s="47"/>
      <c r="B146" s="26" t="s">
        <v>38</v>
      </c>
      <c r="C146" s="1" t="s">
        <v>4</v>
      </c>
      <c r="D146" s="1" t="s">
        <v>28</v>
      </c>
      <c r="E146" s="1" t="s">
        <v>265</v>
      </c>
      <c r="F146" s="69" t="s">
        <v>40</v>
      </c>
      <c r="G146" s="1" t="s">
        <v>29</v>
      </c>
      <c r="H146" s="1" t="s">
        <v>23</v>
      </c>
      <c r="I146" s="12" t="s">
        <v>24</v>
      </c>
      <c r="J146" s="12" t="s">
        <v>25</v>
      </c>
      <c r="K146" s="11" t="s">
        <v>19</v>
      </c>
      <c r="L146" s="12" t="s">
        <v>26</v>
      </c>
      <c r="M146" s="12" t="s">
        <v>20</v>
      </c>
      <c r="N146" s="12" t="s">
        <v>21</v>
      </c>
      <c r="O146" s="12" t="s">
        <v>22</v>
      </c>
      <c r="P146" s="13" t="s">
        <v>27</v>
      </c>
      <c r="Q146" s="85" t="s">
        <v>42</v>
      </c>
      <c r="R146" s="85"/>
      <c r="S146" s="85"/>
      <c r="T146" s="31" t="s">
        <v>50</v>
      </c>
      <c r="U146" s="35" t="s">
        <v>47</v>
      </c>
      <c r="V146" s="36" t="s">
        <v>264</v>
      </c>
    </row>
    <row r="147" spans="1:23">
      <c r="A147" s="47"/>
      <c r="B147" s="27" t="s">
        <v>30</v>
      </c>
      <c r="C147" s="8">
        <v>2.4</v>
      </c>
      <c r="D147" s="1">
        <f>IF(C147,C147+Q141,"")</f>
        <v>192.4</v>
      </c>
      <c r="E147" s="72">
        <f>IF(C147,C147/D147,"")</f>
        <v>1.2474012474012473E-2</v>
      </c>
      <c r="F147" s="14" t="str">
        <f>IF(AND(C147&lt;&gt;"",N139&lt;&gt;""),(M141/F141*E139+M142/F142*D139)/(C147+Q141),"")</f>
        <v/>
      </c>
      <c r="G147" s="1">
        <f>IF(C147,IF(AND(F141&lt;&gt;0,C139&lt;&gt;0),M142,M142/F142*D139)/(C147+Q142),"")</f>
        <v>1.4774158226115519</v>
      </c>
      <c r="H147" s="1">
        <f>IF(C147,(M143)/(C147+Q143),"")</f>
        <v>1.9251231527093595</v>
      </c>
      <c r="I147" s="1">
        <f>IF(C147,(M144)/(C147+Q144),"")</f>
        <v>0</v>
      </c>
      <c r="J147" s="1">
        <f>IF(C147,(M145)/(C147+Q145),"")</f>
        <v>0</v>
      </c>
      <c r="K147" s="14" t="str">
        <f>IF(AND(C147&lt;&gt;"",N139&lt;&gt;""),9.8*N139*LN((C147+Q141)/(C147+R141)),"")</f>
        <v/>
      </c>
      <c r="L147" s="1">
        <f>IF(C147,9.8*F142*LN((C147+Q142)/(C147+R142)),"")</f>
        <v>3752.8121864069158</v>
      </c>
      <c r="M147" s="1">
        <f>IF(C147,9.8*F143*LN((C147+Q143)/(C147+R143)),"")</f>
        <v>5590.1648133027029</v>
      </c>
      <c r="N147" s="1">
        <f>IF(C147,9.8*F144*LN((C147+Q144)/(C147+R144)),"")</f>
        <v>0</v>
      </c>
      <c r="O147" s="1">
        <f>IF(C147,9.8*F145*LN((C147+Q145)/(C147+R145)),"")</f>
        <v>0</v>
      </c>
      <c r="P147" s="15">
        <f>IF(C147,SUM(K147:O147),"")</f>
        <v>9342.9769997096191</v>
      </c>
      <c r="Q147" s="1" t="s">
        <v>228</v>
      </c>
      <c r="R147" s="1"/>
      <c r="S147" s="1"/>
      <c r="T147" s="32" t="str">
        <f>IF(OR(F147&lt;1,AND(F147="",G147&lt;1)),"起飞推重比不得小于0，空天飞机除外","")</f>
        <v/>
      </c>
      <c r="U147" s="1"/>
      <c r="V147" s="1"/>
    </row>
    <row r="148" spans="1:23">
      <c r="A148" s="33" t="s">
        <v>47</v>
      </c>
      <c r="B148" s="27" t="s">
        <v>31</v>
      </c>
      <c r="C148" s="9"/>
      <c r="D148" s="1" t="str">
        <f>IF(C148,C148+Q141,"")</f>
        <v/>
      </c>
      <c r="E148" s="72" t="str">
        <f t="shared" ref="E148:E150" si="44">IF(C148,C148/D148,"")</f>
        <v/>
      </c>
      <c r="F148" s="14" t="str">
        <f>IF(AND(C148&lt;&gt;"",N139&lt;&gt;""),(M141/F141*E139+M142/F142*D139)/(C148+Q141),"")</f>
        <v/>
      </c>
      <c r="G148" s="1" t="str">
        <f>IF(C148,IF(AND(F141&lt;&gt;0,C139&lt;&gt;0),M142,M142/F142*D139)/(C148+Q142),"")</f>
        <v/>
      </c>
      <c r="H148" s="1" t="str">
        <f>IF(C148,(M143)/(C148+Q143),"")</f>
        <v/>
      </c>
      <c r="I148" s="1" t="str">
        <f>IF(C148,(M144)/(C148+Q144),"")</f>
        <v/>
      </c>
      <c r="J148" s="1" t="str">
        <f>IF(C148,(M145)/(C148+Q145),"")</f>
        <v/>
      </c>
      <c r="K148" s="14" t="str">
        <f>IF(AND(C148&lt;&gt;"",N139&lt;&gt;""),9.8*N139*LN((C148+Q141)/(C148+R141)),"")</f>
        <v/>
      </c>
      <c r="L148" s="1" t="str">
        <f>IF(C148,9.8*F142*LN((C148+Q142)/(C148+R142)),"")</f>
        <v/>
      </c>
      <c r="M148" s="1" t="str">
        <f>IF(C148,9.8*F143*LN((C148+Q143)/(C148+R143)),"")</f>
        <v/>
      </c>
      <c r="N148" s="1" t="str">
        <f>IF(C148,9.8*F144*LN((C148+Q144)/(C148+R144)),"")</f>
        <v/>
      </c>
      <c r="O148" s="1" t="str">
        <f>IF(C148,9.8*F145*LN((C148+Q145)/(C148+R145)),"")</f>
        <v/>
      </c>
      <c r="P148" s="15" t="str">
        <f>IF(C148,SUM(K148:O148),"")</f>
        <v/>
      </c>
      <c r="Q148" s="1" t="s">
        <v>510</v>
      </c>
      <c r="R148" s="1"/>
      <c r="S148" s="1"/>
      <c r="T148" s="32" t="str">
        <f t="shared" ref="T148:T150" si="45">IF(OR(F148&lt;1,AND(F148="",G148&lt;1)),"起飞推重比不得小于0，空天飞机除外","")</f>
        <v/>
      </c>
      <c r="U148" s="1"/>
      <c r="V148" s="1"/>
    </row>
    <row r="149" spans="1:23">
      <c r="A149" s="40"/>
      <c r="B149" s="27" t="s">
        <v>36</v>
      </c>
      <c r="C149" s="9"/>
      <c r="D149" s="1" t="str">
        <f>IF(C149,C149+Q141,"")</f>
        <v/>
      </c>
      <c r="E149" s="72" t="str">
        <f t="shared" si="44"/>
        <v/>
      </c>
      <c r="F149" s="14" t="str">
        <f>IF(AND(C149&lt;&gt;"",N139&lt;&gt;""),(M141/F141*E139+M142/F142*D139)/(C149+Q141),"")</f>
        <v/>
      </c>
      <c r="G149" s="1" t="str">
        <f>IF(C149,IF(AND(F141&lt;&gt;0,C139&lt;&gt;0),M142,M142/F142*D139)/(C149+Q142),"")</f>
        <v/>
      </c>
      <c r="H149" s="1" t="str">
        <f>IF(C149,(M143)/(C149+Q143),"")</f>
        <v/>
      </c>
      <c r="I149" s="1" t="str">
        <f>IF(C149,(M144)/(C149+Q144),"")</f>
        <v/>
      </c>
      <c r="J149" s="1" t="str">
        <f>IF(C149,(M145)/(C149+Q145),"")</f>
        <v/>
      </c>
      <c r="K149" s="14" t="str">
        <f>IF(AND(C149&lt;&gt;"",N139&lt;&gt;""),9.8*N139*LN((C149+Q141)/(C149+R141)),"")</f>
        <v/>
      </c>
      <c r="L149" s="1" t="str">
        <f>IF(C149,9.8*F142*LN((C149+Q142)/(C149+R142)),"")</f>
        <v/>
      </c>
      <c r="M149" s="1" t="str">
        <f>IF(C149,9.8*F143*LN((C149+Q143)/(C149+R143)),"")</f>
        <v/>
      </c>
      <c r="N149" s="1" t="str">
        <f>IF(C149,9.8*F144*LN((C149+Q144)/(C149+R144)),"")</f>
        <v/>
      </c>
      <c r="O149" s="1" t="str">
        <f>IF(C149,9.8*F145*LN((C149+Q145)/(C149+R145)),"")</f>
        <v/>
      </c>
      <c r="P149" s="15" t="str">
        <f>IF(C149,SUM(K149:O149),"")</f>
        <v/>
      </c>
      <c r="Q149" s="1"/>
      <c r="R149" s="1"/>
      <c r="S149" s="1"/>
      <c r="T149" s="32" t="str">
        <f t="shared" si="45"/>
        <v/>
      </c>
      <c r="U149" s="1"/>
      <c r="V149" s="1"/>
    </row>
    <row r="150" spans="1:23" ht="15" thickBot="1">
      <c r="A150" s="47"/>
      <c r="B150" s="28" t="s">
        <v>5</v>
      </c>
      <c r="C150" s="10"/>
      <c r="D150" s="1" t="str">
        <f>IF(C150,C150+Q141,"")</f>
        <v/>
      </c>
      <c r="E150" s="72" t="str">
        <f t="shared" si="44"/>
        <v/>
      </c>
      <c r="F150" s="14" t="str">
        <f>IF(AND(C150&lt;&gt;"",N139&lt;&gt;""),(M141/F141*E139+M142/F142*D139)/(C150+Q141),"")</f>
        <v/>
      </c>
      <c r="G150" s="1" t="str">
        <f>IF(C150,IF(AND(F141&lt;&gt;0,C139&lt;&gt;0),M142,M142/F142*D139)/(C150+Q142),"")</f>
        <v/>
      </c>
      <c r="H150" s="1" t="str">
        <f>IF(C150,(M143)/(C150+Q143),"")</f>
        <v/>
      </c>
      <c r="I150" s="1" t="str">
        <f>IF(C150,(M144)/(C150+Q144),"")</f>
        <v/>
      </c>
      <c r="J150" s="1" t="str">
        <f>IF(C150,(M145)/(C150+Q145),"")</f>
        <v/>
      </c>
      <c r="K150" s="14" t="str">
        <f>IF(AND(C150&lt;&gt;"",N139&lt;&gt;""),9.8*N139*LN((C150+Q141)/(C150+R141)),"")</f>
        <v/>
      </c>
      <c r="L150" s="1" t="str">
        <f>IF(C150,9.8*F142*LN((C150+Q142)/(C150+R142)),"")</f>
        <v/>
      </c>
      <c r="M150" s="1" t="str">
        <f>IF(C150,9.8*F143*LN((C150+Q143)/(C150+R143)),"")</f>
        <v/>
      </c>
      <c r="N150" s="1" t="str">
        <f>IF(C150,9.8*F144*LN((C150+Q144)/(C150+R144)),"")</f>
        <v/>
      </c>
      <c r="O150" s="1" t="str">
        <f>IF(C150,9.8*F145*LN((C150+Q145)/(C150+R145)),"")</f>
        <v/>
      </c>
      <c r="P150" s="15" t="str">
        <f>IF(C150,SUM(K150:O150),"")</f>
        <v/>
      </c>
      <c r="Q150" s="17"/>
      <c r="R150" s="17"/>
      <c r="S150" s="17"/>
      <c r="T150" s="32" t="str">
        <f t="shared" si="45"/>
        <v/>
      </c>
      <c r="U150" s="1"/>
      <c r="V150" s="1"/>
    </row>
    <row r="151" spans="1:23" ht="15" thickBot="1">
      <c r="A151" s="33" t="s">
        <v>45</v>
      </c>
      <c r="B151" s="26" t="s">
        <v>37</v>
      </c>
      <c r="C151" s="1" t="s">
        <v>9</v>
      </c>
      <c r="D151" s="12" t="s">
        <v>28</v>
      </c>
      <c r="E151" s="12" t="s">
        <v>266</v>
      </c>
      <c r="F151" s="11" t="s">
        <v>40</v>
      </c>
      <c r="G151" s="12" t="s">
        <v>29</v>
      </c>
      <c r="H151" s="12" t="s">
        <v>23</v>
      </c>
      <c r="I151" s="12" t="s">
        <v>24</v>
      </c>
      <c r="J151" s="12" t="s">
        <v>25</v>
      </c>
      <c r="K151" s="11" t="s">
        <v>19</v>
      </c>
      <c r="L151" s="12" t="s">
        <v>26</v>
      </c>
      <c r="M151" s="12" t="s">
        <v>20</v>
      </c>
      <c r="N151" s="12" t="s">
        <v>21</v>
      </c>
      <c r="O151" s="12" t="s">
        <v>22</v>
      </c>
      <c r="P151" s="13" t="s">
        <v>27</v>
      </c>
      <c r="Q151" s="85" t="s">
        <v>42</v>
      </c>
      <c r="R151" s="85"/>
      <c r="S151" s="85"/>
      <c r="T151" s="12" t="s">
        <v>51</v>
      </c>
      <c r="U151" s="37" t="s">
        <v>45</v>
      </c>
      <c r="V151" s="38" t="s">
        <v>48</v>
      </c>
    </row>
    <row r="152" spans="1:23">
      <c r="A152" s="40"/>
      <c r="B152" s="27" t="s">
        <v>30</v>
      </c>
      <c r="C152" s="8"/>
      <c r="D152" s="1" t="str">
        <f>IF(C152,C152+Q141,"")</f>
        <v/>
      </c>
      <c r="E152" s="72" t="str">
        <f>IF(C152,C152/D152,"")</f>
        <v/>
      </c>
      <c r="F152" s="14" t="str">
        <f>IF(AND(C152&lt;&gt;"",N139&lt;&gt;""),(M141/F141*E139+M142/F142*D139)/(C152+U141),"")</f>
        <v/>
      </c>
      <c r="G152" s="1" t="str">
        <f>IF(C152,IF(AND(F141&lt;&gt;0,C139&lt;&gt;0),M142,M142/F142*D139)/(C152+U142),"")</f>
        <v/>
      </c>
      <c r="H152" s="1" t="str">
        <f>IF(C152,(M143)/(C152+U143),"")</f>
        <v/>
      </c>
      <c r="I152" s="1" t="str">
        <f>IF(C152,(M144)/(C152+U144),"")</f>
        <v/>
      </c>
      <c r="J152" s="1" t="str">
        <f>IF(C152,(M145)/(C152+U145),"")</f>
        <v/>
      </c>
      <c r="K152" s="14" t="str">
        <f>IF(AND(C152&lt;&gt;"",N139&lt;&gt;""),9.8*N139*LN((C152+U141)/(C152+V141)),"")</f>
        <v/>
      </c>
      <c r="L152" s="1" t="str">
        <f>IF(C152,9.8*F142*LN((C152+U142)/(C152+V142)),"")</f>
        <v/>
      </c>
      <c r="M152" s="1" t="str">
        <f>IF(C152,9.8*F143*LN((C152+U143)/(C152+V143)),"")</f>
        <v/>
      </c>
      <c r="N152" s="1" t="str">
        <f>IF(C152,9.8*F144*LN((C152+U144)/(C152+V144)),"")</f>
        <v/>
      </c>
      <c r="O152" s="1" t="str">
        <f>IF(C152,9.8*F145*LN((C152+U145)/(C152+V145)),"")</f>
        <v/>
      </c>
      <c r="P152" s="15" t="str">
        <f>IF(C152,SUM(K152:O152),"")</f>
        <v/>
      </c>
      <c r="Q152" s="1"/>
      <c r="R152" s="1"/>
      <c r="S152" s="1"/>
      <c r="T152" s="32" t="str">
        <f>IF(OR(F152&lt;1,AND(F152="",G152&lt;1)),"起飞推重比不得小于0，空天飞机除外","")</f>
        <v/>
      </c>
      <c r="U152" s="1"/>
      <c r="V152" s="1"/>
    </row>
    <row r="153" spans="1:23">
      <c r="A153" s="47"/>
      <c r="B153" s="27" t="s">
        <v>31</v>
      </c>
      <c r="C153" s="9"/>
      <c r="D153" s="1" t="str">
        <f>IF(C153,C153+Q141,"")</f>
        <v/>
      </c>
      <c r="E153" s="72" t="str">
        <f t="shared" ref="E153:E155" si="46">IF(C153,C153/D153,"")</f>
        <v/>
      </c>
      <c r="F153" s="14" t="str">
        <f>IF(AND(C153&lt;&gt;"",N139&lt;&gt;""),(M141/F141*E139+M142/F142*D139)/(C153+U141),"")</f>
        <v/>
      </c>
      <c r="G153" s="1" t="str">
        <f>IF(C153,IF(AND(F141&lt;&gt;0,C139&lt;&gt;0),M142,M142/F142*D139)/(C153+U142),"")</f>
        <v/>
      </c>
      <c r="H153" s="1" t="str">
        <f>IF(C153,(M143)/(C153+U143),"")</f>
        <v/>
      </c>
      <c r="I153" s="1" t="str">
        <f>IF(C153,(M144)/(C153+U144),"")</f>
        <v/>
      </c>
      <c r="J153" s="1" t="str">
        <f>IF(C153,(M145)/(C153+U145),"")</f>
        <v/>
      </c>
      <c r="K153" s="14" t="str">
        <f>IF(AND(C153&lt;&gt;"",N139&lt;&gt;""),9.8*N139*LN((C153+U141)/(C153+V141)),"")</f>
        <v/>
      </c>
      <c r="L153" s="1" t="str">
        <f>IF(C153,9.8*F142*LN((C153+U142)/(C153+V142)),"")</f>
        <v/>
      </c>
      <c r="M153" s="1" t="str">
        <f>IF(C153,9.8*F143*LN((C153+U143)/(C153+V143)),"")</f>
        <v/>
      </c>
      <c r="N153" s="1" t="str">
        <f>IF(C153,9.8*F144*LN((C153+U144)/(C153+V144)),"")</f>
        <v/>
      </c>
      <c r="O153" s="1" t="str">
        <f>IF(C153,9.8*F145*LN((C153+U145)/(C153+V145)),"")</f>
        <v/>
      </c>
      <c r="P153" s="15" t="str">
        <f>IF(C153,SUM(K153:O153),"")</f>
        <v/>
      </c>
      <c r="Q153" s="1"/>
      <c r="R153" s="1"/>
      <c r="S153" s="1"/>
      <c r="T153" s="32" t="str">
        <f t="shared" ref="T153:T155" si="47">IF(OR(F153&lt;1,AND(F153="",G153&lt;1)),"起飞推重比不得小于0，空天飞机除外","")</f>
        <v/>
      </c>
      <c r="U153" s="1"/>
      <c r="V153" s="1"/>
    </row>
    <row r="154" spans="1:23">
      <c r="A154" s="47"/>
      <c r="B154" s="27" t="s">
        <v>32</v>
      </c>
      <c r="C154" s="9"/>
      <c r="D154" s="1" t="str">
        <f>IF(C154,C154+Q141,"")</f>
        <v/>
      </c>
      <c r="E154" s="72" t="str">
        <f t="shared" si="46"/>
        <v/>
      </c>
      <c r="F154" s="14" t="str">
        <f>IF(AND(C154&lt;&gt;"",N139&lt;&gt;""),(M141/F141*E139+M142/F142*D139)/(C154+U141),"")</f>
        <v/>
      </c>
      <c r="G154" s="1" t="str">
        <f>IF(C154,IF(AND(F141&lt;&gt;0,C139&lt;&gt;0),M142,M142/F142*D139)/(C154+U142),"")</f>
        <v/>
      </c>
      <c r="H154" s="1" t="str">
        <f>IF(C154,(M143)/(C154+U143),"")</f>
        <v/>
      </c>
      <c r="I154" s="1" t="str">
        <f>IF(C154,(M144)/(C154+U144),"")</f>
        <v/>
      </c>
      <c r="J154" s="1" t="str">
        <f>IF(C154,(M145)/(C154+U145),"")</f>
        <v/>
      </c>
      <c r="K154" s="14" t="str">
        <f>IF(AND(C154&lt;&gt;"",N139&lt;&gt;""),9.8*N139*LN((C154+U141)/(C154+V141)),"")</f>
        <v/>
      </c>
      <c r="L154" s="1" t="str">
        <f>IF(C154,9.8*F142*LN((C154+U142)/(C154+V142)),"")</f>
        <v/>
      </c>
      <c r="M154" s="1" t="str">
        <f>IF(C154,9.8*F143*LN((C154+U143)/(C154+V143)),"")</f>
        <v/>
      </c>
      <c r="N154" s="1" t="str">
        <f>IF(C154,9.8*F144*LN((C154+U144)/(C154+V144)),"")</f>
        <v/>
      </c>
      <c r="O154" s="1" t="str">
        <f>IF(C154,9.8*F145*LN((C154+U145)/(C154+V145)),"")</f>
        <v/>
      </c>
      <c r="P154" s="15" t="str">
        <f>IF(C154,SUM(K154:O154),"")</f>
        <v/>
      </c>
      <c r="Q154" s="1"/>
      <c r="R154" s="1"/>
      <c r="S154" s="1"/>
      <c r="T154" s="32" t="str">
        <f t="shared" si="47"/>
        <v/>
      </c>
      <c r="U154" s="1"/>
      <c r="V154" s="1"/>
    </row>
    <row r="155" spans="1:23" ht="15" thickBot="1">
      <c r="A155" s="48" t="s">
        <v>46</v>
      </c>
      <c r="B155" s="49" t="s">
        <v>33</v>
      </c>
      <c r="C155" s="50"/>
      <c r="D155" s="25" t="str">
        <f>IF(C155,C155+Q141,"")</f>
        <v/>
      </c>
      <c r="E155" s="73" t="str">
        <f t="shared" si="46"/>
        <v/>
      </c>
      <c r="F155" s="70" t="str">
        <f>IF(AND(C155&lt;&gt;"",N139&lt;&gt;""),(M141/F141*E139+M142/F142*D139)/(C155+U141),"")</f>
        <v/>
      </c>
      <c r="G155" s="25" t="str">
        <f>IF(C155,IF(AND(F141&lt;&gt;0,C139&lt;&gt;0),M142,M142/F142*D139)/(C155+U142),"")</f>
        <v/>
      </c>
      <c r="H155" s="25" t="str">
        <f>IF(C155,(M143)/(C155+U143),"")</f>
        <v/>
      </c>
      <c r="I155" s="25" t="str">
        <f>IF(C155,(M144)/(C155+U144),"")</f>
        <v/>
      </c>
      <c r="J155" s="25" t="str">
        <f>IF(C155,(M145)/(C155+U145),"")</f>
        <v/>
      </c>
      <c r="K155" s="70" t="str">
        <f>IF(AND(C155&lt;&gt;"",N139&lt;&gt;""),9.8*N139*LN((C155+U141)/(C155+V141)),"")</f>
        <v/>
      </c>
      <c r="L155" s="25" t="str">
        <f>IF(C155,9.8*F142*LN((C155+U142)/(C155+V142)),"")</f>
        <v/>
      </c>
      <c r="M155" s="25" t="str">
        <f>IF(C155,9.8*F143*LN((C155+U143)/(C155+V143)),"")</f>
        <v/>
      </c>
      <c r="N155" s="25" t="str">
        <f>IF(C155,9.8*F144*LN((C155+U144)/(C155+V144)),"")</f>
        <v/>
      </c>
      <c r="O155" s="25" t="str">
        <f>IF(C155,9.8*F145*LN((C155+U145)/(C155+V145)),"")</f>
        <v/>
      </c>
      <c r="P155" s="71" t="str">
        <f>IF(C155,SUM(K155:O155),"")</f>
        <v/>
      </c>
      <c r="Q155" s="25"/>
      <c r="R155" s="25"/>
      <c r="S155" s="25"/>
      <c r="T155" s="51" t="str">
        <f t="shared" si="47"/>
        <v/>
      </c>
      <c r="U155" s="25"/>
      <c r="V155" s="25"/>
    </row>
    <row r="156" spans="1:23" ht="15" thickBot="1"/>
    <row r="157" spans="1:23" ht="15" thickBot="1">
      <c r="A157" s="52" t="s">
        <v>184</v>
      </c>
      <c r="B157" s="52"/>
      <c r="C157" s="29" t="s">
        <v>0</v>
      </c>
      <c r="D157" s="90" t="s">
        <v>41</v>
      </c>
      <c r="E157" s="90"/>
      <c r="F157" s="43"/>
      <c r="G157" s="43"/>
      <c r="H157" s="43"/>
      <c r="I157" s="86" t="s">
        <v>42</v>
      </c>
      <c r="J157" s="86"/>
      <c r="K157" s="86"/>
      <c r="L157" s="54" t="s">
        <v>70</v>
      </c>
      <c r="M157" s="86" t="s">
        <v>71</v>
      </c>
      <c r="N157" s="86"/>
      <c r="O157" s="87"/>
      <c r="P157" s="29" t="s">
        <v>49</v>
      </c>
      <c r="Q157" s="34" t="str">
        <f>IF(OR(P161&lt;P160,T161&lt;T160),"芯级燃烧时间不得小于助推燃烧时间！","")</f>
        <v/>
      </c>
      <c r="R157" s="44"/>
      <c r="S157" s="45"/>
      <c r="T157" s="29"/>
      <c r="U157" s="46" t="s">
        <v>45</v>
      </c>
      <c r="V157" s="46" t="s">
        <v>48</v>
      </c>
    </row>
    <row r="158" spans="1:23" ht="15" thickBot="1">
      <c r="A158" s="40" t="s">
        <v>185</v>
      </c>
      <c r="B158" s="39"/>
      <c r="C158" s="2">
        <v>0</v>
      </c>
      <c r="D158" s="2">
        <v>260</v>
      </c>
      <c r="E158" s="2">
        <v>0</v>
      </c>
      <c r="F158" s="41"/>
      <c r="G158" s="42"/>
      <c r="H158" s="42"/>
      <c r="I158" s="24" t="s">
        <v>199</v>
      </c>
      <c r="J158" s="24"/>
      <c r="K158" s="24"/>
      <c r="L158" s="55">
        <f>IFERROR(IF(AND(F160&lt;&gt;0,C158&lt;&gt;0),M160/F160*E158+M161/F161*D158,M161/F161*D158),0)</f>
        <v>302.19217081850536</v>
      </c>
      <c r="M158" s="53" t="s">
        <v>45</v>
      </c>
      <c r="N158" s="17" t="str">
        <f>IF(AND(F160&lt;&gt;0,C158&lt;&gt;0),(M160+M161)/(M160/F160+M161/F161),"")</f>
        <v/>
      </c>
      <c r="O158" s="56" t="s">
        <v>46</v>
      </c>
      <c r="P158" s="89" t="s">
        <v>17</v>
      </c>
      <c r="Q158" s="89"/>
      <c r="R158" s="91"/>
      <c r="S158" s="88" t="s">
        <v>18</v>
      </c>
      <c r="T158" s="89"/>
      <c r="U158" s="89"/>
      <c r="V158" s="89"/>
    </row>
    <row r="159" spans="1:23" ht="15" thickBot="1">
      <c r="A159" s="33" t="s">
        <v>45</v>
      </c>
      <c r="B159" s="26" t="s">
        <v>39</v>
      </c>
      <c r="C159" s="1" t="s">
        <v>60</v>
      </c>
      <c r="D159" s="1" t="s">
        <v>61</v>
      </c>
      <c r="E159" s="1" t="s">
        <v>62</v>
      </c>
      <c r="F159" s="1" t="s">
        <v>63</v>
      </c>
      <c r="G159" s="1" t="s">
        <v>64</v>
      </c>
      <c r="H159" s="1" t="s">
        <v>65</v>
      </c>
      <c r="I159" s="60" t="str">
        <f>HYPERLINK(":\Reference\长征系列运载火箭介绍：长征二号系列(五).pdf","长征系列运载火箭介绍：长征二号系列(五).pdf")</f>
        <v>长征系列运载火箭介绍：长征二号系列(五).pdf</v>
      </c>
      <c r="J159" s="24"/>
      <c r="K159" s="24"/>
      <c r="L159" s="11" t="s">
        <v>6</v>
      </c>
      <c r="M159" s="12" t="s">
        <v>69</v>
      </c>
      <c r="N159" s="12" t="s">
        <v>15</v>
      </c>
      <c r="O159" s="13" t="s">
        <v>14</v>
      </c>
      <c r="P159" s="14" t="s">
        <v>12</v>
      </c>
      <c r="Q159" s="1" t="s">
        <v>10</v>
      </c>
      <c r="R159" s="15" t="s">
        <v>11</v>
      </c>
      <c r="S159" s="14" t="s">
        <v>13</v>
      </c>
      <c r="T159" s="1" t="s">
        <v>16</v>
      </c>
      <c r="U159" s="1" t="s">
        <v>10</v>
      </c>
      <c r="V159" s="1" t="s">
        <v>11</v>
      </c>
    </row>
    <row r="160" spans="1:23">
      <c r="A160" s="40"/>
      <c r="B160" s="27" t="s">
        <v>3</v>
      </c>
      <c r="C160" s="3"/>
      <c r="D160" s="4"/>
      <c r="E160" s="4"/>
      <c r="F160" s="4"/>
      <c r="G160" s="19"/>
      <c r="H160" s="20"/>
      <c r="I160" s="24"/>
      <c r="J160" s="24"/>
      <c r="K160" s="24"/>
      <c r="L160" s="14">
        <f>C160*C158</f>
        <v>0</v>
      </c>
      <c r="M160" s="1">
        <f>E160*C158</f>
        <v>0</v>
      </c>
      <c r="N160" s="1">
        <f>IF(D160,L160/D160,0)</f>
        <v>0</v>
      </c>
      <c r="O160" s="15">
        <f>L160-N160</f>
        <v>0</v>
      </c>
      <c r="P160" s="14">
        <f>IF(AND(F160&lt;&gt;0,C158&lt;&gt;0),O160/M160*F160/IF(G160,G160,1),0)</f>
        <v>0</v>
      </c>
      <c r="Q160" s="1">
        <f>SUM(L160:L164)</f>
        <v>232.94</v>
      </c>
      <c r="R160" s="15">
        <f>N160+Q161</f>
        <v>232.94</v>
      </c>
      <c r="S160" s="14">
        <f>N160+H160*O160</f>
        <v>0</v>
      </c>
      <c r="T160" s="1">
        <f>IF(AND(F160&lt;&gt;0,C158&lt;&gt;0),(1-H160)*O160/M160*F160/IF(G160,G160,1),0)</f>
        <v>0</v>
      </c>
      <c r="U160" s="1">
        <f>SUM(L160:L164)</f>
        <v>232.94</v>
      </c>
      <c r="V160" s="1">
        <f>S160+U161</f>
        <v>232.94</v>
      </c>
    </row>
    <row r="161" spans="1:23">
      <c r="A161" s="47"/>
      <c r="B161" s="27">
        <v>1</v>
      </c>
      <c r="C161" s="5">
        <v>192.3</v>
      </c>
      <c r="D161" s="1">
        <v>19.579999999999998</v>
      </c>
      <c r="E161" s="1">
        <v>326.60000000000002</v>
      </c>
      <c r="F161" s="1">
        <v>281</v>
      </c>
      <c r="G161" s="5">
        <v>1</v>
      </c>
      <c r="H161" s="21"/>
      <c r="I161" s="30" t="s">
        <v>198</v>
      </c>
      <c r="J161" s="30"/>
      <c r="K161" s="30"/>
      <c r="L161" s="14">
        <f>C161</f>
        <v>192.3</v>
      </c>
      <c r="M161" s="1">
        <f>E161</f>
        <v>326.60000000000002</v>
      </c>
      <c r="N161" s="1">
        <f>IF(D161,L161/D161,0)</f>
        <v>9.8212461695607782</v>
      </c>
      <c r="O161" s="15">
        <f>L161-N161</f>
        <v>182.47875383043925</v>
      </c>
      <c r="P161" s="14">
        <f t="shared" ref="P161:P164" si="48">IF(F161,O161/M161*F161/IF(G161,G161,1),0)</f>
        <v>157.00100987860813</v>
      </c>
      <c r="Q161" s="1">
        <f>IF(F161,SUM(L161:L164)-P160*M161/F161*IF(G161,G161,1),0)</f>
        <v>232.94</v>
      </c>
      <c r="R161" s="15">
        <f>N161+Q162</f>
        <v>50.461246169560781</v>
      </c>
      <c r="S161" s="14">
        <f>N161+H161*O161</f>
        <v>9.8212461695607782</v>
      </c>
      <c r="T161" s="1">
        <f>IF(F161,(1-H161)*O161/M161*F161/IF(G161,G161,1),0)</f>
        <v>157.00100987860813</v>
      </c>
      <c r="U161" s="1">
        <f>IF(F161,SUM(L161:L164)-T160*M161/F161*IF(G161,G161,1),0)</f>
        <v>232.94</v>
      </c>
      <c r="V161" s="1">
        <f>S161+U162</f>
        <v>50.461246169560781</v>
      </c>
    </row>
    <row r="162" spans="1:23">
      <c r="A162" s="47"/>
      <c r="B162" s="27">
        <v>2</v>
      </c>
      <c r="C162" s="5">
        <v>40.64</v>
      </c>
      <c r="D162" s="1">
        <v>13.01</v>
      </c>
      <c r="E162" s="1">
        <v>78.16</v>
      </c>
      <c r="F162" s="1">
        <v>288</v>
      </c>
      <c r="G162" s="5"/>
      <c r="H162" s="21"/>
      <c r="I162" s="30" t="s">
        <v>197</v>
      </c>
      <c r="J162" s="30"/>
      <c r="K162" s="30"/>
      <c r="L162" s="14">
        <f>C162</f>
        <v>40.64</v>
      </c>
      <c r="M162" s="1">
        <f>E162</f>
        <v>78.16</v>
      </c>
      <c r="N162" s="1">
        <f>IF(D162,L162/D162,0)</f>
        <v>3.1237509607993852</v>
      </c>
      <c r="O162" s="15">
        <f>L162-N162</f>
        <v>37.516249039200616</v>
      </c>
      <c r="P162" s="14">
        <f t="shared" si="48"/>
        <v>138.23796984761742</v>
      </c>
      <c r="Q162" s="1">
        <f>SUM(L162:L164)</f>
        <v>40.64</v>
      </c>
      <c r="R162" s="15">
        <f>N162+Q163</f>
        <v>3.1237509607993852</v>
      </c>
      <c r="S162" s="14">
        <f>N162+H162*O162</f>
        <v>3.1237509607993852</v>
      </c>
      <c r="T162" s="1">
        <f t="shared" ref="T162:T164" si="49">IF(F162,(1-H162)*O162/M162*F162/IF(G162,G162,1),0)</f>
        <v>138.23796984761742</v>
      </c>
      <c r="U162" s="1">
        <f>SUM(L162:L164)</f>
        <v>40.64</v>
      </c>
      <c r="V162" s="1">
        <f>S162+U163</f>
        <v>3.1237509607993852</v>
      </c>
    </row>
    <row r="163" spans="1:23">
      <c r="A163" s="33" t="s">
        <v>45</v>
      </c>
      <c r="B163" s="27">
        <v>3</v>
      </c>
      <c r="C163" s="5"/>
      <c r="D163" s="1"/>
      <c r="E163" s="1"/>
      <c r="F163" s="1"/>
      <c r="G163" s="5"/>
      <c r="H163" s="21"/>
      <c r="I163" s="30"/>
      <c r="J163" s="30"/>
      <c r="K163" s="30"/>
      <c r="L163" s="14">
        <f>C163</f>
        <v>0</v>
      </c>
      <c r="M163" s="1">
        <f>E163</f>
        <v>0</v>
      </c>
      <c r="N163" s="1">
        <f>IF(D163,L163/D163,0)</f>
        <v>0</v>
      </c>
      <c r="O163" s="15">
        <f>L163-N163</f>
        <v>0</v>
      </c>
      <c r="P163" s="14">
        <f t="shared" si="48"/>
        <v>0</v>
      </c>
      <c r="Q163" s="1">
        <f>SUM(L163:L164)</f>
        <v>0</v>
      </c>
      <c r="R163" s="15">
        <f>N163+Q164</f>
        <v>0</v>
      </c>
      <c r="S163" s="14">
        <f>N163+H163*O163</f>
        <v>0</v>
      </c>
      <c r="T163" s="1">
        <f t="shared" si="49"/>
        <v>0</v>
      </c>
      <c r="U163" s="1">
        <f>SUM(L163:L164)</f>
        <v>0</v>
      </c>
      <c r="V163" s="1">
        <f>S163+U164</f>
        <v>0</v>
      </c>
    </row>
    <row r="164" spans="1:23" ht="15" thickBot="1">
      <c r="A164" s="40"/>
      <c r="B164" s="28">
        <v>4</v>
      </c>
      <c r="C164" s="6"/>
      <c r="D164" s="7"/>
      <c r="E164" s="7"/>
      <c r="F164" s="7"/>
      <c r="G164" s="22"/>
      <c r="H164" s="23"/>
      <c r="I164" s="24"/>
      <c r="J164" s="24"/>
      <c r="K164" s="24"/>
      <c r="L164" s="16">
        <f>C164</f>
        <v>0</v>
      </c>
      <c r="M164" s="17">
        <f>E164</f>
        <v>0</v>
      </c>
      <c r="N164" s="17">
        <f>IF(D164,L164/D164,0)</f>
        <v>0</v>
      </c>
      <c r="O164" s="18">
        <f>L164-N164</f>
        <v>0</v>
      </c>
      <c r="P164" s="14">
        <f t="shared" si="48"/>
        <v>0</v>
      </c>
      <c r="Q164" s="17">
        <f>SUM(L164:L164)</f>
        <v>0</v>
      </c>
      <c r="R164" s="18">
        <f>N164</f>
        <v>0</v>
      </c>
      <c r="S164" s="16">
        <f>N164+H164*O164</f>
        <v>0</v>
      </c>
      <c r="T164" s="17">
        <f t="shared" si="49"/>
        <v>0</v>
      </c>
      <c r="U164" s="17">
        <f>SUM(L164:L164)</f>
        <v>0</v>
      </c>
      <c r="V164" s="17">
        <f>S164</f>
        <v>0</v>
      </c>
      <c r="W164" s="1"/>
    </row>
    <row r="165" spans="1:23" ht="15" thickBot="1">
      <c r="A165" s="47"/>
      <c r="B165" s="26" t="s">
        <v>38</v>
      </c>
      <c r="C165" s="1" t="s">
        <v>4</v>
      </c>
      <c r="D165" s="1" t="s">
        <v>28</v>
      </c>
      <c r="E165" s="1" t="s">
        <v>265</v>
      </c>
      <c r="F165" s="69" t="s">
        <v>40</v>
      </c>
      <c r="G165" s="1" t="s">
        <v>29</v>
      </c>
      <c r="H165" s="1" t="s">
        <v>23</v>
      </c>
      <c r="I165" s="12" t="s">
        <v>24</v>
      </c>
      <c r="J165" s="12" t="s">
        <v>25</v>
      </c>
      <c r="K165" s="11" t="s">
        <v>19</v>
      </c>
      <c r="L165" s="12" t="s">
        <v>26</v>
      </c>
      <c r="M165" s="12" t="s">
        <v>20</v>
      </c>
      <c r="N165" s="12" t="s">
        <v>21</v>
      </c>
      <c r="O165" s="12" t="s">
        <v>22</v>
      </c>
      <c r="P165" s="13" t="s">
        <v>27</v>
      </c>
      <c r="Q165" s="85" t="s">
        <v>42</v>
      </c>
      <c r="R165" s="85"/>
      <c r="S165" s="85"/>
      <c r="T165" s="31" t="s">
        <v>50</v>
      </c>
      <c r="U165" s="35" t="s">
        <v>47</v>
      </c>
      <c r="V165" s="36" t="s">
        <v>264</v>
      </c>
    </row>
    <row r="166" spans="1:23">
      <c r="A166" s="47"/>
      <c r="B166" s="27" t="s">
        <v>30</v>
      </c>
      <c r="C166" s="8">
        <v>3.1</v>
      </c>
      <c r="D166" s="1">
        <f>IF(C166,C166+Q160,"")</f>
        <v>236.04</v>
      </c>
      <c r="E166" s="72">
        <f>IF(C166,C166/D166,"")</f>
        <v>1.3133367225893916E-2</v>
      </c>
      <c r="F166" s="14" t="str">
        <f>IF(AND(C166&lt;&gt;"",N158&lt;&gt;""),(M160/F160*E158+M161/F161*D158)/(C166+Q160),"")</f>
        <v/>
      </c>
      <c r="G166" s="1">
        <f>IF(C166,IF(AND(F160&lt;&gt;0,C158&lt;&gt;0),M161,M161/F161*D158)/(C166+Q161),"")</f>
        <v>1.2802583071449982</v>
      </c>
      <c r="H166" s="1">
        <f>IF(C166,(M162)/(C166+Q162),"")</f>
        <v>1.78692272519433</v>
      </c>
      <c r="I166" s="1">
        <f>IF(C166,(M163)/(C166+Q163),"")</f>
        <v>0</v>
      </c>
      <c r="J166" s="1">
        <f>IF(C166,(M164)/(C166+Q164),"")</f>
        <v>0</v>
      </c>
      <c r="K166" s="14" t="str">
        <f>IF(AND(C166&lt;&gt;"",N158&lt;&gt;""),9.8*N158*LN((C166+Q160)/(C166+R160)),"")</f>
        <v/>
      </c>
      <c r="L166" s="1">
        <f>IF(C166,9.8*F161*LN((C166+Q161)/(C166+R161)),"")</f>
        <v>4084.3686776939162</v>
      </c>
      <c r="M166" s="1">
        <f>IF(C166,9.8*F162*LN((C166+Q162)/(C166+R162)),"")</f>
        <v>5503.3702187331874</v>
      </c>
      <c r="N166" s="1">
        <f>IF(C166,9.8*F163*LN((C166+Q163)/(C166+R163)),"")</f>
        <v>0</v>
      </c>
      <c r="O166" s="1">
        <f>IF(C166,9.8*F164*LN((C166+Q164)/(C166+R164)),"")</f>
        <v>0</v>
      </c>
      <c r="P166" s="15">
        <f>IF(C166,SUM(K166:O166),"")</f>
        <v>9587.7388964271031</v>
      </c>
      <c r="Q166" s="1" t="s">
        <v>228</v>
      </c>
      <c r="R166" s="1"/>
      <c r="S166" s="1"/>
      <c r="T166" s="32" t="str">
        <f>IF(OR(F166&lt;1,AND(F166="",G166&lt;1)),"起飞推重比不得小于0，空天飞机除外","")</f>
        <v/>
      </c>
      <c r="U166" s="1"/>
      <c r="V166" s="1"/>
    </row>
    <row r="167" spans="1:23">
      <c r="A167" s="33" t="s">
        <v>47</v>
      </c>
      <c r="B167" s="27" t="s">
        <v>31</v>
      </c>
      <c r="C167" s="9"/>
      <c r="D167" s="1" t="str">
        <f>IF(C167,C167+Q160,"")</f>
        <v/>
      </c>
      <c r="E167" s="72" t="str">
        <f t="shared" ref="E167:E169" si="50">IF(C167,C167/D167,"")</f>
        <v/>
      </c>
      <c r="F167" s="14" t="str">
        <f>IF(AND(C167&lt;&gt;"",N158&lt;&gt;""),(M160/F160*E158+M161/F161*D158)/(C167+Q160),"")</f>
        <v/>
      </c>
      <c r="G167" s="1" t="str">
        <f>IF(C167,IF(AND(F160&lt;&gt;0,C158&lt;&gt;0),M161,M161/F161*D158)/(C167+Q161),"")</f>
        <v/>
      </c>
      <c r="H167" s="1" t="str">
        <f>IF(C167,(M162)/(C167+Q162),"")</f>
        <v/>
      </c>
      <c r="I167" s="1" t="str">
        <f>IF(C167,(M163)/(C167+Q163),"")</f>
        <v/>
      </c>
      <c r="J167" s="1" t="str">
        <f>IF(C167,(M164)/(C167+Q164),"")</f>
        <v/>
      </c>
      <c r="K167" s="14" t="str">
        <f>IF(AND(C167&lt;&gt;"",N158&lt;&gt;""),9.8*N158*LN((C167+Q160)/(C167+R160)),"")</f>
        <v/>
      </c>
      <c r="L167" s="1" t="str">
        <f>IF(C167,9.8*F161*LN((C167+Q161)/(C167+R161)),"")</f>
        <v/>
      </c>
      <c r="M167" s="1" t="str">
        <f>IF(C167,9.8*F162*LN((C167+Q162)/(C167+R162)),"")</f>
        <v/>
      </c>
      <c r="N167" s="1" t="str">
        <f>IF(C167,9.8*F163*LN((C167+Q163)/(C167+R163)),"")</f>
        <v/>
      </c>
      <c r="O167" s="1" t="str">
        <f>IF(C167,9.8*F164*LN((C167+Q164)/(C167+R164)),"")</f>
        <v/>
      </c>
      <c r="P167" s="15" t="str">
        <f>IF(C167,SUM(K167:O167),"")</f>
        <v/>
      </c>
      <c r="Q167" s="1"/>
      <c r="R167" s="1"/>
      <c r="S167" s="1"/>
      <c r="T167" s="32" t="str">
        <f t="shared" ref="T167:T169" si="51">IF(OR(F167&lt;1,AND(F167="",G167&lt;1)),"起飞推重比不得小于0，空天飞机除外","")</f>
        <v/>
      </c>
      <c r="U167" s="1"/>
      <c r="V167" s="1"/>
    </row>
    <row r="168" spans="1:23">
      <c r="A168" s="40"/>
      <c r="B168" s="27" t="s">
        <v>36</v>
      </c>
      <c r="C168" s="9"/>
      <c r="D168" s="1" t="str">
        <f>IF(C168,C168+Q160,"")</f>
        <v/>
      </c>
      <c r="E168" s="72" t="str">
        <f t="shared" si="50"/>
        <v/>
      </c>
      <c r="F168" s="14" t="str">
        <f>IF(AND(C168&lt;&gt;"",N158&lt;&gt;""),(M160/F160*E158+M161/F161*D158)/(C168+Q160),"")</f>
        <v/>
      </c>
      <c r="G168" s="1" t="str">
        <f>IF(C168,IF(AND(F160&lt;&gt;0,C158&lt;&gt;0),M161,M161/F161*D158)/(C168+Q161),"")</f>
        <v/>
      </c>
      <c r="H168" s="1" t="str">
        <f>IF(C168,(M162)/(C168+Q162),"")</f>
        <v/>
      </c>
      <c r="I168" s="1" t="str">
        <f>IF(C168,(M163)/(C168+Q163),"")</f>
        <v/>
      </c>
      <c r="J168" s="1" t="str">
        <f>IF(C168,(M164)/(C168+Q164),"")</f>
        <v/>
      </c>
      <c r="K168" s="14" t="str">
        <f>IF(AND(C168&lt;&gt;"",N158&lt;&gt;""),9.8*N158*LN((C168+Q160)/(C168+R160)),"")</f>
        <v/>
      </c>
      <c r="L168" s="1" t="str">
        <f>IF(C168,9.8*F161*LN((C168+Q161)/(C168+R161)),"")</f>
        <v/>
      </c>
      <c r="M168" s="1" t="str">
        <f>IF(C168,9.8*F162*LN((C168+Q162)/(C168+R162)),"")</f>
        <v/>
      </c>
      <c r="N168" s="1" t="str">
        <f>IF(C168,9.8*F163*LN((C168+Q163)/(C168+R163)),"")</f>
        <v/>
      </c>
      <c r="O168" s="1" t="str">
        <f>IF(C168,9.8*F164*LN((C168+Q164)/(C168+R164)),"")</f>
        <v/>
      </c>
      <c r="P168" s="15" t="str">
        <f>IF(C168,SUM(K168:O168),"")</f>
        <v/>
      </c>
      <c r="Q168" s="1"/>
      <c r="R168" s="1"/>
      <c r="S168" s="1"/>
      <c r="T168" s="32" t="str">
        <f t="shared" si="51"/>
        <v/>
      </c>
      <c r="U168" s="1"/>
      <c r="V168" s="1"/>
    </row>
    <row r="169" spans="1:23" ht="15" thickBot="1">
      <c r="A169" s="47"/>
      <c r="B169" s="28" t="s">
        <v>5</v>
      </c>
      <c r="C169" s="10"/>
      <c r="D169" s="1" t="str">
        <f>IF(C169,C169+Q160,"")</f>
        <v/>
      </c>
      <c r="E169" s="72" t="str">
        <f t="shared" si="50"/>
        <v/>
      </c>
      <c r="F169" s="14" t="str">
        <f>IF(AND(C169&lt;&gt;"",N158&lt;&gt;""),(M160/F160*E158+M161/F161*D158)/(C169+Q160),"")</f>
        <v/>
      </c>
      <c r="G169" s="1" t="str">
        <f>IF(C169,IF(AND(F160&lt;&gt;0,C158&lt;&gt;0),M161,M161/F161*D158)/(C169+Q161),"")</f>
        <v/>
      </c>
      <c r="H169" s="1" t="str">
        <f>IF(C169,(M162)/(C169+Q162),"")</f>
        <v/>
      </c>
      <c r="I169" s="1" t="str">
        <f>IF(C169,(M163)/(C169+Q163),"")</f>
        <v/>
      </c>
      <c r="J169" s="1" t="str">
        <f>IF(C169,(M164)/(C169+Q164),"")</f>
        <v/>
      </c>
      <c r="K169" s="14" t="str">
        <f>IF(AND(C169&lt;&gt;"",N158&lt;&gt;""),9.8*N158*LN((C169+Q160)/(C169+R160)),"")</f>
        <v/>
      </c>
      <c r="L169" s="1" t="str">
        <f>IF(C169,9.8*F161*LN((C169+Q161)/(C169+R161)),"")</f>
        <v/>
      </c>
      <c r="M169" s="1" t="str">
        <f>IF(C169,9.8*F162*LN((C169+Q162)/(C169+R162)),"")</f>
        <v/>
      </c>
      <c r="N169" s="1" t="str">
        <f>IF(C169,9.8*F163*LN((C169+Q163)/(C169+R163)),"")</f>
        <v/>
      </c>
      <c r="O169" s="1" t="str">
        <f>IF(C169,9.8*F164*LN((C169+Q164)/(C169+R164)),"")</f>
        <v/>
      </c>
      <c r="P169" s="15" t="str">
        <f>IF(C169,SUM(K169:O169),"")</f>
        <v/>
      </c>
      <c r="Q169" s="17"/>
      <c r="R169" s="17"/>
      <c r="S169" s="17"/>
      <c r="T169" s="32" t="str">
        <f t="shared" si="51"/>
        <v/>
      </c>
      <c r="U169" s="1"/>
      <c r="V169" s="1"/>
    </row>
    <row r="170" spans="1:23" ht="15" thickBot="1">
      <c r="A170" s="33" t="s">
        <v>45</v>
      </c>
      <c r="B170" s="26" t="s">
        <v>37</v>
      </c>
      <c r="C170" s="1" t="s">
        <v>9</v>
      </c>
      <c r="D170" s="12" t="s">
        <v>28</v>
      </c>
      <c r="E170" s="12" t="s">
        <v>266</v>
      </c>
      <c r="F170" s="11" t="s">
        <v>40</v>
      </c>
      <c r="G170" s="12" t="s">
        <v>29</v>
      </c>
      <c r="H170" s="12" t="s">
        <v>23</v>
      </c>
      <c r="I170" s="12" t="s">
        <v>24</v>
      </c>
      <c r="J170" s="12" t="s">
        <v>25</v>
      </c>
      <c r="K170" s="11" t="s">
        <v>19</v>
      </c>
      <c r="L170" s="12" t="s">
        <v>26</v>
      </c>
      <c r="M170" s="12" t="s">
        <v>20</v>
      </c>
      <c r="N170" s="12" t="s">
        <v>21</v>
      </c>
      <c r="O170" s="12" t="s">
        <v>22</v>
      </c>
      <c r="P170" s="13" t="s">
        <v>27</v>
      </c>
      <c r="Q170" s="85" t="s">
        <v>42</v>
      </c>
      <c r="R170" s="85"/>
      <c r="S170" s="85"/>
      <c r="T170" s="12" t="s">
        <v>51</v>
      </c>
      <c r="U170" s="37" t="s">
        <v>45</v>
      </c>
      <c r="V170" s="38" t="s">
        <v>48</v>
      </c>
    </row>
    <row r="171" spans="1:23">
      <c r="A171" s="40"/>
      <c r="B171" s="27" t="s">
        <v>30</v>
      </c>
      <c r="C171" s="8"/>
      <c r="D171" s="1" t="str">
        <f>IF(C171,C171+Q160,"")</f>
        <v/>
      </c>
      <c r="E171" s="72" t="str">
        <f>IF(C171,C171/D171,"")</f>
        <v/>
      </c>
      <c r="F171" s="14" t="str">
        <f>IF(AND(C171&lt;&gt;"",N158&lt;&gt;""),(M160/F160*E158+M161/F161*D158)/(C171+U160),"")</f>
        <v/>
      </c>
      <c r="G171" s="1" t="str">
        <f>IF(C171,IF(AND(F160&lt;&gt;0,C158&lt;&gt;0),M161,M161/F161*D158)/(C171+U161),"")</f>
        <v/>
      </c>
      <c r="H171" s="1" t="str">
        <f>IF(C171,(M162)/(C171+U162),"")</f>
        <v/>
      </c>
      <c r="I171" s="1" t="str">
        <f>IF(C171,(M163)/(C171+U163),"")</f>
        <v/>
      </c>
      <c r="J171" s="1" t="str">
        <f>IF(C171,(M164)/(C171+U164),"")</f>
        <v/>
      </c>
      <c r="K171" s="14" t="str">
        <f>IF(AND(C171&lt;&gt;"",N158&lt;&gt;""),9.8*N158*LN((C171+U160)/(C171+V160)),"")</f>
        <v/>
      </c>
      <c r="L171" s="1" t="str">
        <f>IF(C171,9.8*F161*LN((C171+U161)/(C171+V161)),"")</f>
        <v/>
      </c>
      <c r="M171" s="1" t="str">
        <f>IF(C171,9.8*F162*LN((C171+U162)/(C171+V162)),"")</f>
        <v/>
      </c>
      <c r="N171" s="1" t="str">
        <f>IF(C171,9.8*F163*LN((C171+U163)/(C171+V163)),"")</f>
        <v/>
      </c>
      <c r="O171" s="1" t="str">
        <f>IF(C171,9.8*F164*LN((C171+U164)/(C171+V164)),"")</f>
        <v/>
      </c>
      <c r="P171" s="15" t="str">
        <f>IF(C171,SUM(K171:O171),"")</f>
        <v/>
      </c>
      <c r="Q171" s="1"/>
      <c r="R171" s="1"/>
      <c r="S171" s="1"/>
      <c r="T171" s="32" t="str">
        <f>IF(OR(F171&lt;1,AND(F171="",G171&lt;1)),"起飞推重比不得小于0，空天飞机除外","")</f>
        <v/>
      </c>
      <c r="U171" s="1"/>
      <c r="V171" s="1"/>
    </row>
    <row r="172" spans="1:23">
      <c r="A172" s="47"/>
      <c r="B172" s="27" t="s">
        <v>31</v>
      </c>
      <c r="C172" s="9"/>
      <c r="D172" s="1" t="str">
        <f>IF(C172,C172+Q160,"")</f>
        <v/>
      </c>
      <c r="E172" s="72" t="str">
        <f t="shared" ref="E172:E174" si="52">IF(C172,C172/D172,"")</f>
        <v/>
      </c>
      <c r="F172" s="14" t="str">
        <f>IF(AND(C172&lt;&gt;"",N158&lt;&gt;""),(M160/F160*E158+M161/F161*D158)/(C172+U160),"")</f>
        <v/>
      </c>
      <c r="G172" s="1" t="str">
        <f>IF(C172,IF(AND(F160&lt;&gt;0,C158&lt;&gt;0),M161,M161/F161*D158)/(C172+U161),"")</f>
        <v/>
      </c>
      <c r="H172" s="1" t="str">
        <f>IF(C172,(M162)/(C172+U162),"")</f>
        <v/>
      </c>
      <c r="I172" s="1" t="str">
        <f>IF(C172,(M163)/(C172+U163),"")</f>
        <v/>
      </c>
      <c r="J172" s="1" t="str">
        <f>IF(C172,(M164)/(C172+U164),"")</f>
        <v/>
      </c>
      <c r="K172" s="14" t="str">
        <f>IF(AND(C172&lt;&gt;"",N158&lt;&gt;""),9.8*N158*LN((C172+U160)/(C172+V160)),"")</f>
        <v/>
      </c>
      <c r="L172" s="1" t="str">
        <f>IF(C172,9.8*F161*LN((C172+U161)/(C172+V161)),"")</f>
        <v/>
      </c>
      <c r="M172" s="1" t="str">
        <f>IF(C172,9.8*F162*LN((C172+U162)/(C172+V162)),"")</f>
        <v/>
      </c>
      <c r="N172" s="1" t="str">
        <f>IF(C172,9.8*F163*LN((C172+U163)/(C172+V163)),"")</f>
        <v/>
      </c>
      <c r="O172" s="1" t="str">
        <f>IF(C172,9.8*F164*LN((C172+U164)/(C172+V164)),"")</f>
        <v/>
      </c>
      <c r="P172" s="15" t="str">
        <f>IF(C172,SUM(K172:O172),"")</f>
        <v/>
      </c>
      <c r="Q172" s="1"/>
      <c r="R172" s="1"/>
      <c r="S172" s="1"/>
      <c r="T172" s="32" t="str">
        <f t="shared" ref="T172:T174" si="53">IF(OR(F172&lt;1,AND(F172="",G172&lt;1)),"起飞推重比不得小于0，空天飞机除外","")</f>
        <v/>
      </c>
      <c r="U172" s="1"/>
      <c r="V172" s="1"/>
    </row>
    <row r="173" spans="1:23">
      <c r="A173" s="47"/>
      <c r="B173" s="27" t="s">
        <v>32</v>
      </c>
      <c r="C173" s="9"/>
      <c r="D173" s="1" t="str">
        <f>IF(C173,C173+Q160,"")</f>
        <v/>
      </c>
      <c r="E173" s="72" t="str">
        <f t="shared" si="52"/>
        <v/>
      </c>
      <c r="F173" s="14" t="str">
        <f>IF(AND(C173&lt;&gt;"",N158&lt;&gt;""),(M160/F160*E158+M161/F161*D158)/(C173+U160),"")</f>
        <v/>
      </c>
      <c r="G173" s="1" t="str">
        <f>IF(C173,IF(AND(F160&lt;&gt;0,C158&lt;&gt;0),M161,M161/F161*D158)/(C173+U161),"")</f>
        <v/>
      </c>
      <c r="H173" s="1" t="str">
        <f>IF(C173,(M162)/(C173+U162),"")</f>
        <v/>
      </c>
      <c r="I173" s="1" t="str">
        <f>IF(C173,(M163)/(C173+U163),"")</f>
        <v/>
      </c>
      <c r="J173" s="1" t="str">
        <f>IF(C173,(M164)/(C173+U164),"")</f>
        <v/>
      </c>
      <c r="K173" s="14" t="str">
        <f>IF(AND(C173&lt;&gt;"",N158&lt;&gt;""),9.8*N158*LN((C173+U160)/(C173+V160)),"")</f>
        <v/>
      </c>
      <c r="L173" s="1" t="str">
        <f>IF(C173,9.8*F161*LN((C173+U161)/(C173+V161)),"")</f>
        <v/>
      </c>
      <c r="M173" s="1" t="str">
        <f>IF(C173,9.8*F162*LN((C173+U162)/(C173+V162)),"")</f>
        <v/>
      </c>
      <c r="N173" s="1" t="str">
        <f>IF(C173,9.8*F163*LN((C173+U163)/(C173+V163)),"")</f>
        <v/>
      </c>
      <c r="O173" s="1" t="str">
        <f>IF(C173,9.8*F164*LN((C173+U164)/(C173+V164)),"")</f>
        <v/>
      </c>
      <c r="P173" s="15" t="str">
        <f>IF(C173,SUM(K173:O173),"")</f>
        <v/>
      </c>
      <c r="Q173" s="1"/>
      <c r="R173" s="1"/>
      <c r="S173" s="1"/>
      <c r="T173" s="32" t="str">
        <f t="shared" si="53"/>
        <v/>
      </c>
      <c r="U173" s="1"/>
      <c r="V173" s="1"/>
    </row>
    <row r="174" spans="1:23" ht="15" thickBot="1">
      <c r="A174" s="48" t="s">
        <v>46</v>
      </c>
      <c r="B174" s="49" t="s">
        <v>33</v>
      </c>
      <c r="C174" s="50"/>
      <c r="D174" s="25" t="str">
        <f>IF(C174,C174+Q160,"")</f>
        <v/>
      </c>
      <c r="E174" s="73" t="str">
        <f t="shared" si="52"/>
        <v/>
      </c>
      <c r="F174" s="70" t="str">
        <f>IF(AND(C174&lt;&gt;"",N158&lt;&gt;""),(M160/F160*E158+M161/F161*D158)/(C174+U160),"")</f>
        <v/>
      </c>
      <c r="G174" s="25" t="str">
        <f>IF(C174,IF(AND(F160&lt;&gt;0,C158&lt;&gt;0),M161,M161/F161*D158)/(C174+U161),"")</f>
        <v/>
      </c>
      <c r="H174" s="25" t="str">
        <f>IF(C174,(M162)/(C174+U162),"")</f>
        <v/>
      </c>
      <c r="I174" s="25" t="str">
        <f>IF(C174,(M163)/(C174+U163),"")</f>
        <v/>
      </c>
      <c r="J174" s="25" t="str">
        <f>IF(C174,(M164)/(C174+U164),"")</f>
        <v/>
      </c>
      <c r="K174" s="70" t="str">
        <f>IF(AND(C174&lt;&gt;"",N158&lt;&gt;""),9.8*N158*LN((C174+U160)/(C174+V160)),"")</f>
        <v/>
      </c>
      <c r="L174" s="25" t="str">
        <f>IF(C174,9.8*F161*LN((C174+U161)/(C174+V161)),"")</f>
        <v/>
      </c>
      <c r="M174" s="25" t="str">
        <f>IF(C174,9.8*F162*LN((C174+U162)/(C174+V162)),"")</f>
        <v/>
      </c>
      <c r="N174" s="25" t="str">
        <f>IF(C174,9.8*F163*LN((C174+U163)/(C174+V163)),"")</f>
        <v/>
      </c>
      <c r="O174" s="25" t="str">
        <f>IF(C174,9.8*F164*LN((C174+U164)/(C174+V164)),"")</f>
        <v/>
      </c>
      <c r="P174" s="71" t="str">
        <f>IF(C174,SUM(K174:O174),"")</f>
        <v/>
      </c>
      <c r="Q174" s="25"/>
      <c r="R174" s="25"/>
      <c r="S174" s="25"/>
      <c r="T174" s="51" t="str">
        <f t="shared" si="53"/>
        <v/>
      </c>
      <c r="U174" s="25"/>
      <c r="V174" s="25"/>
    </row>
    <row r="175" spans="1:23" ht="15" thickBot="1"/>
    <row r="176" spans="1:23" ht="15" thickBot="1">
      <c r="A176" s="52" t="s">
        <v>186</v>
      </c>
      <c r="B176" s="52"/>
      <c r="C176" s="29" t="s">
        <v>0</v>
      </c>
      <c r="D176" s="90" t="s">
        <v>41</v>
      </c>
      <c r="E176" s="90"/>
      <c r="F176" s="43"/>
      <c r="G176" s="43"/>
      <c r="H176" s="43"/>
      <c r="I176" s="86" t="s">
        <v>42</v>
      </c>
      <c r="J176" s="86"/>
      <c r="K176" s="86"/>
      <c r="L176" s="54" t="s">
        <v>70</v>
      </c>
      <c r="M176" s="86" t="s">
        <v>71</v>
      </c>
      <c r="N176" s="86"/>
      <c r="O176" s="87"/>
      <c r="P176" s="29" t="s">
        <v>49</v>
      </c>
      <c r="Q176" s="34" t="str">
        <f>IF(OR(P180&lt;P179,T180&lt;T179),"芯级燃烧时间不得小于助推燃烧时间！","")</f>
        <v/>
      </c>
      <c r="R176" s="44"/>
      <c r="S176" s="45"/>
      <c r="T176" s="29"/>
      <c r="U176" s="46" t="s">
        <v>45</v>
      </c>
      <c r="V176" s="46" t="s">
        <v>48</v>
      </c>
    </row>
    <row r="177" spans="1:23" ht="15" thickBot="1">
      <c r="A177" s="40" t="s">
        <v>187</v>
      </c>
      <c r="B177" s="39"/>
      <c r="C177" s="2">
        <v>4</v>
      </c>
      <c r="D177" s="2">
        <v>260.8</v>
      </c>
      <c r="E177" s="2">
        <v>260.8</v>
      </c>
      <c r="F177" s="41"/>
      <c r="G177" s="42"/>
      <c r="H177" s="42"/>
      <c r="I177" s="65" t="s">
        <v>226</v>
      </c>
      <c r="J177" s="24"/>
      <c r="K177" s="24"/>
      <c r="L177" s="55">
        <f>IFERROR(IF(AND(F179&lt;&gt;0,C177&lt;&gt;0),M179/F179*E177+M180/F180*D177,M180/F180*D177),0)</f>
        <v>604.75900355871886</v>
      </c>
      <c r="M177" s="53" t="s">
        <v>45</v>
      </c>
      <c r="N177" s="17">
        <f>IF(AND(F179&lt;&gt;0,C177&lt;&gt;0),(M179+M180)/(M179/F179+M180/F180),"")</f>
        <v>281</v>
      </c>
      <c r="O177" s="56" t="s">
        <v>46</v>
      </c>
      <c r="P177" s="89" t="s">
        <v>17</v>
      </c>
      <c r="Q177" s="89"/>
      <c r="R177" s="91"/>
      <c r="S177" s="88" t="s">
        <v>18</v>
      </c>
      <c r="T177" s="89"/>
      <c r="U177" s="89"/>
      <c r="V177" s="89"/>
    </row>
    <row r="178" spans="1:23" ht="15" thickBot="1">
      <c r="A178" s="33" t="s">
        <v>45</v>
      </c>
      <c r="B178" s="26" t="s">
        <v>39</v>
      </c>
      <c r="C178" s="1" t="s">
        <v>1</v>
      </c>
      <c r="D178" s="1" t="s">
        <v>2</v>
      </c>
      <c r="E178" s="1" t="s">
        <v>7</v>
      </c>
      <c r="F178" s="1" t="s">
        <v>8</v>
      </c>
      <c r="G178" s="1" t="s">
        <v>43</v>
      </c>
      <c r="H178" s="1" t="s">
        <v>44</v>
      </c>
      <c r="I178" s="60" t="str">
        <f>HYPERLINK(":\Reference\长征系列运载火箭介绍：长征二号系列(六).pdf","长征系列运载火箭介绍：长征二号系列(六).pdf")</f>
        <v>长征系列运载火箭介绍：长征二号系列(六).pdf</v>
      </c>
      <c r="J178" s="24"/>
      <c r="K178" s="24"/>
      <c r="L178" s="11" t="s">
        <v>6</v>
      </c>
      <c r="M178" s="12" t="s">
        <v>69</v>
      </c>
      <c r="N178" s="12" t="s">
        <v>15</v>
      </c>
      <c r="O178" s="13" t="s">
        <v>14</v>
      </c>
      <c r="P178" s="14" t="s">
        <v>12</v>
      </c>
      <c r="Q178" s="1" t="s">
        <v>10</v>
      </c>
      <c r="R178" s="15" t="s">
        <v>11</v>
      </c>
      <c r="S178" s="14" t="s">
        <v>13</v>
      </c>
      <c r="T178" s="1" t="s">
        <v>16</v>
      </c>
      <c r="U178" s="1" t="s">
        <v>10</v>
      </c>
      <c r="V178" s="1" t="s">
        <v>11</v>
      </c>
    </row>
    <row r="179" spans="1:23">
      <c r="A179" s="40"/>
      <c r="B179" s="27" t="s">
        <v>3</v>
      </c>
      <c r="C179" s="3">
        <v>40.753999999999998</v>
      </c>
      <c r="D179" s="4">
        <v>13.585000000000001</v>
      </c>
      <c r="E179" s="4">
        <v>81.5</v>
      </c>
      <c r="F179" s="4">
        <v>281</v>
      </c>
      <c r="G179" s="19"/>
      <c r="H179" s="20"/>
      <c r="I179" s="24" t="s">
        <v>231</v>
      </c>
      <c r="J179" s="24"/>
      <c r="K179" s="24"/>
      <c r="L179" s="14">
        <f>C179*C177</f>
        <v>163.01599999999999</v>
      </c>
      <c r="M179" s="1">
        <f>E179*C177</f>
        <v>326</v>
      </c>
      <c r="N179" s="1">
        <f>IF(D179,L179/D179,0)</f>
        <v>11.999705557600294</v>
      </c>
      <c r="O179" s="15">
        <f>L179-N179</f>
        <v>151.0162944423997</v>
      </c>
      <c r="P179" s="14">
        <f>IF(AND(F179&lt;&gt;0,C177&lt;&gt;0),O179/M179*F179/IF(G179,G179,1),0)</f>
        <v>130.17048692734451</v>
      </c>
      <c r="Q179" s="1">
        <f>SUM(L179:L183)</f>
        <v>453.255</v>
      </c>
      <c r="R179" s="15">
        <f>N179+Q180</f>
        <v>151.40770718200105</v>
      </c>
      <c r="S179" s="14">
        <f>N179+H179*O179</f>
        <v>11.999705557600294</v>
      </c>
      <c r="T179" s="1">
        <f>IF(AND(F179&lt;&gt;0,C177&lt;&gt;0),(1-H179)*O179/M179*F179/IF(G179,G179,1),0)</f>
        <v>130.17048692734451</v>
      </c>
      <c r="U179" s="1">
        <f>SUM(L179:L183)</f>
        <v>453.255</v>
      </c>
      <c r="V179" s="1">
        <f>S179+U180</f>
        <v>151.40770718200105</v>
      </c>
    </row>
    <row r="180" spans="1:23">
      <c r="A180" s="47"/>
      <c r="B180" s="27">
        <v>1</v>
      </c>
      <c r="C180" s="5">
        <v>198.82499999999999</v>
      </c>
      <c r="D180" s="1">
        <v>15.84</v>
      </c>
      <c r="E180" s="1">
        <v>325.60000000000002</v>
      </c>
      <c r="F180" s="1">
        <v>281</v>
      </c>
      <c r="G180" s="5"/>
      <c r="H180" s="21"/>
      <c r="I180" s="30" t="s">
        <v>198</v>
      </c>
      <c r="J180" s="30"/>
      <c r="K180" s="30"/>
      <c r="L180" s="14">
        <f>C180</f>
        <v>198.82499999999999</v>
      </c>
      <c r="M180" s="1">
        <f>E180</f>
        <v>325.60000000000002</v>
      </c>
      <c r="N180" s="1">
        <f>IF(D180,L180/D180,0)</f>
        <v>12.552083333333332</v>
      </c>
      <c r="O180" s="15">
        <f>L180-N180</f>
        <v>186.27291666666665</v>
      </c>
      <c r="P180" s="14">
        <f t="shared" ref="P180:P183" si="54">IF(F180,O180/M180*F180/IF(G180,G180,1),0)</f>
        <v>160.7576461404586</v>
      </c>
      <c r="Q180" s="1">
        <f>IF(F180,SUM(L180:L183)-P179*M180/F180*IF(G180,G180,1),0)</f>
        <v>139.40800162440075</v>
      </c>
      <c r="R180" s="15">
        <f>N180+Q181</f>
        <v>103.96608333333333</v>
      </c>
      <c r="S180" s="14">
        <f>N180+H180*O180</f>
        <v>12.552083333333332</v>
      </c>
      <c r="T180" s="1">
        <f>IF(F180,(1-H180)*O180/M180*F180/IF(G180,G180,1),0)</f>
        <v>160.7576461404586</v>
      </c>
      <c r="U180" s="1">
        <f>IF(F180,SUM(L180:L183)-T179*M180/F180*IF(G180,G180,1),0)</f>
        <v>139.40800162440075</v>
      </c>
      <c r="V180" s="1">
        <f>S180+U181</f>
        <v>103.96608333333333</v>
      </c>
    </row>
    <row r="181" spans="1:23">
      <c r="A181" s="47"/>
      <c r="B181" s="27">
        <v>2</v>
      </c>
      <c r="C181" s="5">
        <v>91.414000000000001</v>
      </c>
      <c r="D181" s="1">
        <v>18.45</v>
      </c>
      <c r="E181" s="31">
        <v>80.150000000000006</v>
      </c>
      <c r="F181" s="1">
        <v>297</v>
      </c>
      <c r="G181" s="5"/>
      <c r="H181" s="21"/>
      <c r="I181" s="30" t="s">
        <v>234</v>
      </c>
      <c r="J181" s="30"/>
      <c r="K181" s="30"/>
      <c r="L181" s="14">
        <f>C181</f>
        <v>91.414000000000001</v>
      </c>
      <c r="M181" s="1">
        <f>E181</f>
        <v>80.150000000000006</v>
      </c>
      <c r="N181" s="1">
        <f>IF(D181,L181/D181,0)</f>
        <v>4.9546883468834695</v>
      </c>
      <c r="O181" s="15">
        <f>L181-N181</f>
        <v>86.459311653116529</v>
      </c>
      <c r="P181" s="14">
        <f t="shared" si="54"/>
        <v>320.37948298160455</v>
      </c>
      <c r="Q181" s="1">
        <f>SUM(L181:L183)</f>
        <v>91.414000000000001</v>
      </c>
      <c r="R181" s="15">
        <f>N181+Q182</f>
        <v>4.9546883468834695</v>
      </c>
      <c r="S181" s="14">
        <f>N181+H181*O181</f>
        <v>4.9546883468834695</v>
      </c>
      <c r="T181" s="1">
        <f t="shared" ref="T181:T183" si="55">IF(F181,(1-H181)*O181/M181*F181/IF(G181,G181,1),0)</f>
        <v>320.37948298160455</v>
      </c>
      <c r="U181" s="1">
        <f>SUM(L181:L183)</f>
        <v>91.414000000000001</v>
      </c>
      <c r="V181" s="1">
        <f>S181+U182</f>
        <v>4.9546883468834695</v>
      </c>
    </row>
    <row r="182" spans="1:23">
      <c r="A182" s="33" t="s">
        <v>45</v>
      </c>
      <c r="B182" s="27">
        <v>3</v>
      </c>
      <c r="C182" s="5"/>
      <c r="D182" s="1"/>
      <c r="E182" s="1"/>
      <c r="F182" s="1"/>
      <c r="G182" s="5"/>
      <c r="H182" s="21"/>
      <c r="I182" s="30"/>
      <c r="J182" s="30"/>
      <c r="K182" s="30"/>
      <c r="L182" s="14">
        <f>C182</f>
        <v>0</v>
      </c>
      <c r="M182" s="1">
        <f>E182</f>
        <v>0</v>
      </c>
      <c r="N182" s="1">
        <f>IF(D182,L182/D182,0)</f>
        <v>0</v>
      </c>
      <c r="O182" s="15">
        <f>L182-N182</f>
        <v>0</v>
      </c>
      <c r="P182" s="14">
        <f t="shared" si="54"/>
        <v>0</v>
      </c>
      <c r="Q182" s="1">
        <f>SUM(L182:L183)</f>
        <v>0</v>
      </c>
      <c r="R182" s="15">
        <f>N182+Q183</f>
        <v>0</v>
      </c>
      <c r="S182" s="14">
        <f>N182+H182*O182</f>
        <v>0</v>
      </c>
      <c r="T182" s="1">
        <f t="shared" si="55"/>
        <v>0</v>
      </c>
      <c r="U182" s="1">
        <f>SUM(L182:L183)</f>
        <v>0</v>
      </c>
      <c r="V182" s="1">
        <f>S182+U183</f>
        <v>0</v>
      </c>
    </row>
    <row r="183" spans="1:23" ht="15" thickBot="1">
      <c r="A183" s="40"/>
      <c r="B183" s="28">
        <v>4</v>
      </c>
      <c r="C183" s="6"/>
      <c r="D183" s="7"/>
      <c r="E183" s="7"/>
      <c r="F183" s="7"/>
      <c r="G183" s="22"/>
      <c r="H183" s="23"/>
      <c r="I183" s="24"/>
      <c r="J183" s="24"/>
      <c r="K183" s="24"/>
      <c r="L183" s="16">
        <f>C183</f>
        <v>0</v>
      </c>
      <c r="M183" s="17">
        <f>E183</f>
        <v>0</v>
      </c>
      <c r="N183" s="17">
        <f>IF(D183,L183/D183,0)</f>
        <v>0</v>
      </c>
      <c r="O183" s="18">
        <f>L183-N183</f>
        <v>0</v>
      </c>
      <c r="P183" s="14">
        <f t="shared" si="54"/>
        <v>0</v>
      </c>
      <c r="Q183" s="17">
        <f>SUM(L183:L183)</f>
        <v>0</v>
      </c>
      <c r="R183" s="18">
        <f>N183</f>
        <v>0</v>
      </c>
      <c r="S183" s="16">
        <f>N183+H183*O183</f>
        <v>0</v>
      </c>
      <c r="T183" s="17">
        <f t="shared" si="55"/>
        <v>0</v>
      </c>
      <c r="U183" s="17">
        <f>SUM(L183:L183)</f>
        <v>0</v>
      </c>
      <c r="V183" s="17">
        <f>S183</f>
        <v>0</v>
      </c>
      <c r="W183" s="1"/>
    </row>
    <row r="184" spans="1:23" ht="15" thickBot="1">
      <c r="A184" s="47"/>
      <c r="B184" s="26" t="s">
        <v>38</v>
      </c>
      <c r="C184" s="1" t="s">
        <v>4</v>
      </c>
      <c r="D184" s="1" t="s">
        <v>28</v>
      </c>
      <c r="E184" s="1" t="s">
        <v>265</v>
      </c>
      <c r="F184" s="69" t="s">
        <v>40</v>
      </c>
      <c r="G184" s="1" t="s">
        <v>29</v>
      </c>
      <c r="H184" s="1" t="s">
        <v>23</v>
      </c>
      <c r="I184" s="12" t="s">
        <v>24</v>
      </c>
      <c r="J184" s="12" t="s">
        <v>25</v>
      </c>
      <c r="K184" s="11" t="s">
        <v>19</v>
      </c>
      <c r="L184" s="12" t="s">
        <v>26</v>
      </c>
      <c r="M184" s="12" t="s">
        <v>20</v>
      </c>
      <c r="N184" s="12" t="s">
        <v>21</v>
      </c>
      <c r="O184" s="12" t="s">
        <v>22</v>
      </c>
      <c r="P184" s="13" t="s">
        <v>27</v>
      </c>
      <c r="Q184" s="85" t="s">
        <v>42</v>
      </c>
      <c r="R184" s="85"/>
      <c r="S184" s="85"/>
      <c r="T184" s="31" t="s">
        <v>50</v>
      </c>
      <c r="U184" s="35" t="s">
        <v>47</v>
      </c>
      <c r="V184" s="36" t="s">
        <v>264</v>
      </c>
    </row>
    <row r="185" spans="1:23">
      <c r="A185" s="47"/>
      <c r="B185" s="27" t="s">
        <v>30</v>
      </c>
      <c r="C185" s="8">
        <v>9.1999999999999993</v>
      </c>
      <c r="D185" s="1">
        <f>IF(C185,C185+Q179,"")</f>
        <v>462.45499999999998</v>
      </c>
      <c r="E185" s="72">
        <f>IF(C185,C185/D185,"")</f>
        <v>1.9893827507541272E-2</v>
      </c>
      <c r="F185" s="14">
        <f>IF(AND(C185&lt;&gt;"",N177&lt;&gt;""),(M179/F179*E177+M180/F180*D177)/(C185+Q179),"")</f>
        <v>1.3077142717858361</v>
      </c>
      <c r="G185" s="1">
        <f>IF(C185,IF(AND(F179&lt;&gt;0,C177&lt;&gt;0),M180,M180/F180*D177)/(C185+Q180),"")</f>
        <v>2.1909991147242374</v>
      </c>
      <c r="H185" s="1">
        <f>IF(C185,(M181)/(C185+Q181),"")</f>
        <v>0.79660882183393966</v>
      </c>
      <c r="I185" s="1">
        <f>IF(C185,(M182)/(C185+Q182),"")</f>
        <v>0</v>
      </c>
      <c r="J185" s="1">
        <f>IF(C185,(M183)/(C185+Q183),"")</f>
        <v>0</v>
      </c>
      <c r="K185" s="14">
        <f>IF(AND(C185&lt;&gt;"",N177&lt;&gt;""),9.8*N177*LN((C185+Q179)/(C185+R179)),"")</f>
        <v>2912.3760987119326</v>
      </c>
      <c r="L185" s="1">
        <f>IF(C185,9.8*F180*LN((C185+Q180)/(C185+R180)),"")</f>
        <v>750.28788399268308</v>
      </c>
      <c r="M185" s="1">
        <f>IF(C185,9.8*F181*LN((C185+Q181)/(C185+R181)),"")</f>
        <v>5708.4011867814643</v>
      </c>
      <c r="N185" s="1">
        <f>IF(C185,9.8*F182*LN((C185+Q182)/(C185+R182)),"")</f>
        <v>0</v>
      </c>
      <c r="O185" s="1">
        <f>IF(C185,9.8*F183*LN((C185+Q183)/(C185+R183)),"")</f>
        <v>0</v>
      </c>
      <c r="P185" s="15">
        <f>IF(C185,SUM(K185:O185),"")</f>
        <v>9371.065169486079</v>
      </c>
      <c r="Q185" s="1" t="s">
        <v>235</v>
      </c>
      <c r="R185" s="1"/>
      <c r="S185" s="1"/>
      <c r="T185" s="32" t="str">
        <f>IF(OR(F185&lt;1,AND(F185="",G185&lt;1)),"起飞推重比不得小于0，空天飞机除外","")</f>
        <v/>
      </c>
      <c r="U185" s="1"/>
      <c r="V185" s="1"/>
    </row>
    <row r="186" spans="1:23">
      <c r="A186" s="33" t="s">
        <v>47</v>
      </c>
      <c r="B186" s="27" t="s">
        <v>31</v>
      </c>
      <c r="C186" s="9"/>
      <c r="D186" s="1" t="str">
        <f>IF(C186,C186+Q179,"")</f>
        <v/>
      </c>
      <c r="E186" s="72" t="str">
        <f t="shared" ref="E186:E188" si="56">IF(C186,C186/D186,"")</f>
        <v/>
      </c>
      <c r="F186" s="14" t="str">
        <f>IF(AND(C186&lt;&gt;"",N177&lt;&gt;""),(M179/F179*E177+M180/F180*D177)/(C186+Q179),"")</f>
        <v/>
      </c>
      <c r="G186" s="1" t="str">
        <f>IF(C186,IF(AND(F179&lt;&gt;0,C177&lt;&gt;0),M180,M180/F180*D177)/(C186+Q180),"")</f>
        <v/>
      </c>
      <c r="H186" s="1" t="str">
        <f>IF(C186,(M181)/(C186+Q181),"")</f>
        <v/>
      </c>
      <c r="I186" s="1" t="str">
        <f>IF(C186,(M182)/(C186+Q182),"")</f>
        <v/>
      </c>
      <c r="J186" s="1" t="str">
        <f>IF(C186,(M183)/(C186+Q183),"")</f>
        <v/>
      </c>
      <c r="K186" s="14" t="str">
        <f>IF(AND(C186&lt;&gt;"",N177&lt;&gt;""),9.8*N177*LN((C186+Q179)/(C186+R179)),"")</f>
        <v/>
      </c>
      <c r="L186" s="1" t="str">
        <f>IF(C186,9.8*F180*LN((C186+Q180)/(C186+R180)),"")</f>
        <v/>
      </c>
      <c r="M186" s="1" t="str">
        <f>IF(C186,9.8*F181*LN((C186+Q181)/(C186+R181)),"")</f>
        <v/>
      </c>
      <c r="N186" s="1" t="str">
        <f>IF(C186,9.8*F182*LN((C186+Q182)/(C186+R182)),"")</f>
        <v/>
      </c>
      <c r="O186" s="1" t="str">
        <f>IF(C186,9.8*F183*LN((C186+Q183)/(C186+R183)),"")</f>
        <v/>
      </c>
      <c r="P186" s="15" t="str">
        <f>IF(C186,SUM(K186:O186),"")</f>
        <v/>
      </c>
      <c r="Q186" s="1"/>
      <c r="R186" s="1"/>
      <c r="S186" s="1"/>
      <c r="T186" s="32" t="str">
        <f t="shared" ref="T186:T188" si="57">IF(OR(F186&lt;1,AND(F186="",G186&lt;1)),"起飞推重比不得小于0，空天飞机除外","")</f>
        <v/>
      </c>
      <c r="U186" s="1"/>
      <c r="V186" s="1"/>
    </row>
    <row r="187" spans="1:23">
      <c r="A187" s="40"/>
      <c r="B187" s="27" t="s">
        <v>36</v>
      </c>
      <c r="C187" s="9"/>
      <c r="D187" s="1" t="str">
        <f>IF(C187,C187+Q179,"")</f>
        <v/>
      </c>
      <c r="E187" s="72" t="str">
        <f t="shared" si="56"/>
        <v/>
      </c>
      <c r="F187" s="14" t="str">
        <f>IF(AND(C187&lt;&gt;"",N177&lt;&gt;""),(M179/F179*E177+M180/F180*D177)/(C187+Q179),"")</f>
        <v/>
      </c>
      <c r="G187" s="1" t="str">
        <f>IF(C187,IF(AND(F179&lt;&gt;0,C177&lt;&gt;0),M180,M180/F180*D177)/(C187+Q180),"")</f>
        <v/>
      </c>
      <c r="H187" s="1" t="str">
        <f>IF(C187,(M181)/(C187+Q181),"")</f>
        <v/>
      </c>
      <c r="I187" s="1" t="str">
        <f>IF(C187,(M182)/(C187+Q182),"")</f>
        <v/>
      </c>
      <c r="J187" s="1" t="str">
        <f>IF(C187,(M183)/(C187+Q183),"")</f>
        <v/>
      </c>
      <c r="K187" s="14" t="str">
        <f>IF(AND(C187&lt;&gt;"",N177&lt;&gt;""),9.8*N177*LN((C187+Q179)/(C187+R179)),"")</f>
        <v/>
      </c>
      <c r="L187" s="1" t="str">
        <f>IF(C187,9.8*F180*LN((C187+Q180)/(C187+R180)),"")</f>
        <v/>
      </c>
      <c r="M187" s="1" t="str">
        <f>IF(C187,9.8*F181*LN((C187+Q181)/(C187+R181)),"")</f>
        <v/>
      </c>
      <c r="N187" s="1" t="str">
        <f>IF(C187,9.8*F182*LN((C187+Q182)/(C187+R182)),"")</f>
        <v/>
      </c>
      <c r="O187" s="1" t="str">
        <f>IF(C187,9.8*F183*LN((C187+Q183)/(C187+R183)),"")</f>
        <v/>
      </c>
      <c r="P187" s="15" t="str">
        <f>IF(C187,SUM(K187:O187),"")</f>
        <v/>
      </c>
      <c r="Q187" s="1"/>
      <c r="R187" s="1"/>
      <c r="S187" s="1"/>
      <c r="T187" s="32" t="str">
        <f t="shared" si="57"/>
        <v/>
      </c>
      <c r="U187" s="1"/>
      <c r="V187" s="1"/>
    </row>
    <row r="188" spans="1:23" ht="15" thickBot="1">
      <c r="A188" s="47"/>
      <c r="B188" s="28" t="s">
        <v>5</v>
      </c>
      <c r="C188" s="10"/>
      <c r="D188" s="1" t="str">
        <f>IF(C188,C188+Q179,"")</f>
        <v/>
      </c>
      <c r="E188" s="72" t="str">
        <f t="shared" si="56"/>
        <v/>
      </c>
      <c r="F188" s="14" t="str">
        <f>IF(AND(C188&lt;&gt;"",N177&lt;&gt;""),(M179/F179*E177+M180/F180*D177)/(C188+Q179),"")</f>
        <v/>
      </c>
      <c r="G188" s="1" t="str">
        <f>IF(C188,IF(AND(F179&lt;&gt;0,C177&lt;&gt;0),M180,M180/F180*D177)/(C188+Q180),"")</f>
        <v/>
      </c>
      <c r="H188" s="1" t="str">
        <f>IF(C188,(M181)/(C188+Q181),"")</f>
        <v/>
      </c>
      <c r="I188" s="1" t="str">
        <f>IF(C188,(M182)/(C188+Q182),"")</f>
        <v/>
      </c>
      <c r="J188" s="1" t="str">
        <f>IF(C188,(M183)/(C188+Q183),"")</f>
        <v/>
      </c>
      <c r="K188" s="14" t="str">
        <f>IF(AND(C188&lt;&gt;"",N177&lt;&gt;""),9.8*N177*LN((C188+Q179)/(C188+R179)),"")</f>
        <v/>
      </c>
      <c r="L188" s="1" t="str">
        <f>IF(C188,9.8*F180*LN((C188+Q180)/(C188+R180)),"")</f>
        <v/>
      </c>
      <c r="M188" s="1" t="str">
        <f>IF(C188,9.8*F181*LN((C188+Q181)/(C188+R181)),"")</f>
        <v/>
      </c>
      <c r="N188" s="1" t="str">
        <f>IF(C188,9.8*F182*LN((C188+Q182)/(C188+R182)),"")</f>
        <v/>
      </c>
      <c r="O188" s="1" t="str">
        <f>IF(C188,9.8*F183*LN((C188+Q183)/(C188+R183)),"")</f>
        <v/>
      </c>
      <c r="P188" s="15" t="str">
        <f>IF(C188,SUM(K188:O188),"")</f>
        <v/>
      </c>
      <c r="Q188" s="17"/>
      <c r="R188" s="17"/>
      <c r="S188" s="17"/>
      <c r="T188" s="32" t="str">
        <f t="shared" si="57"/>
        <v/>
      </c>
      <c r="U188" s="1"/>
      <c r="V188" s="1"/>
    </row>
    <row r="189" spans="1:23" ht="15" thickBot="1">
      <c r="A189" s="33" t="s">
        <v>45</v>
      </c>
      <c r="B189" s="26" t="s">
        <v>37</v>
      </c>
      <c r="C189" s="1" t="s">
        <v>9</v>
      </c>
      <c r="D189" s="12" t="s">
        <v>28</v>
      </c>
      <c r="E189" s="12" t="s">
        <v>266</v>
      </c>
      <c r="F189" s="11" t="s">
        <v>40</v>
      </c>
      <c r="G189" s="12" t="s">
        <v>29</v>
      </c>
      <c r="H189" s="12" t="s">
        <v>23</v>
      </c>
      <c r="I189" s="12" t="s">
        <v>24</v>
      </c>
      <c r="J189" s="12" t="s">
        <v>25</v>
      </c>
      <c r="K189" s="11" t="s">
        <v>19</v>
      </c>
      <c r="L189" s="12" t="s">
        <v>26</v>
      </c>
      <c r="M189" s="12" t="s">
        <v>20</v>
      </c>
      <c r="N189" s="12" t="s">
        <v>21</v>
      </c>
      <c r="O189" s="12" t="s">
        <v>22</v>
      </c>
      <c r="P189" s="13" t="s">
        <v>27</v>
      </c>
      <c r="Q189" s="85" t="s">
        <v>42</v>
      </c>
      <c r="R189" s="85"/>
      <c r="S189" s="85"/>
      <c r="T189" s="12" t="s">
        <v>51</v>
      </c>
      <c r="U189" s="37" t="s">
        <v>45</v>
      </c>
      <c r="V189" s="38" t="s">
        <v>48</v>
      </c>
    </row>
    <row r="190" spans="1:23">
      <c r="A190" s="40"/>
      <c r="B190" s="27" t="s">
        <v>30</v>
      </c>
      <c r="C190" s="8"/>
      <c r="D190" s="1" t="str">
        <f>IF(C190,C190+Q179,"")</f>
        <v/>
      </c>
      <c r="E190" s="72" t="str">
        <f>IF(C190,C190/D190,"")</f>
        <v/>
      </c>
      <c r="F190" s="14" t="str">
        <f>IF(AND(C190&lt;&gt;"",N177&lt;&gt;""),(M179/F179*E177+M180/F180*D177)/(C190+U179),"")</f>
        <v/>
      </c>
      <c r="G190" s="1" t="str">
        <f>IF(C190,IF(AND(F179&lt;&gt;0,C177&lt;&gt;0),M180,M180/F180*D177)/(C190+U180),"")</f>
        <v/>
      </c>
      <c r="H190" s="1" t="str">
        <f>IF(C190,(M181)/(C190+U181),"")</f>
        <v/>
      </c>
      <c r="I190" s="1" t="str">
        <f>IF(C190,(M182)/(C190+U182),"")</f>
        <v/>
      </c>
      <c r="J190" s="1" t="str">
        <f>IF(C190,(M183)/(C190+U183),"")</f>
        <v/>
      </c>
      <c r="K190" s="14" t="str">
        <f>IF(AND(C190&lt;&gt;"",N177&lt;&gt;""),9.8*N177*LN((C190+U179)/(C190+V179)),"")</f>
        <v/>
      </c>
      <c r="L190" s="1" t="str">
        <f>IF(C190,9.8*F180*LN((C190+U180)/(C190+V180)),"")</f>
        <v/>
      </c>
      <c r="M190" s="1" t="str">
        <f>IF(C190,9.8*F181*LN((C190+U181)/(C190+V181)),"")</f>
        <v/>
      </c>
      <c r="N190" s="1" t="str">
        <f>IF(C190,9.8*F182*LN((C190+U182)/(C190+V182)),"")</f>
        <v/>
      </c>
      <c r="O190" s="1" t="str">
        <f>IF(C190,9.8*F183*LN((C190+U183)/(C190+V183)),"")</f>
        <v/>
      </c>
      <c r="P190" s="15" t="str">
        <f>IF(C190,SUM(K190:O190),"")</f>
        <v/>
      </c>
      <c r="Q190" s="1"/>
      <c r="R190" s="1"/>
      <c r="S190" s="1"/>
      <c r="T190" s="32" t="str">
        <f>IF(OR(F190&lt;1,AND(F190="",G190&lt;1)),"起飞推重比不得小于0，空天飞机除外","")</f>
        <v/>
      </c>
      <c r="U190" s="1"/>
      <c r="V190" s="1"/>
    </row>
    <row r="191" spans="1:23">
      <c r="A191" s="47"/>
      <c r="B191" s="27" t="s">
        <v>31</v>
      </c>
      <c r="C191" s="9"/>
      <c r="D191" s="1" t="str">
        <f>IF(C191,C191+Q179,"")</f>
        <v/>
      </c>
      <c r="E191" s="72" t="str">
        <f t="shared" ref="E191:E193" si="58">IF(C191,C191/D191,"")</f>
        <v/>
      </c>
      <c r="F191" s="14" t="str">
        <f>IF(AND(C191&lt;&gt;"",N177&lt;&gt;""),(M179/F179*E177+M180/F180*D177)/(C191+U179),"")</f>
        <v/>
      </c>
      <c r="G191" s="1" t="str">
        <f>IF(C191,IF(AND(F179&lt;&gt;0,C177&lt;&gt;0),M180,M180/F180*D177)/(C191+U180),"")</f>
        <v/>
      </c>
      <c r="H191" s="1" t="str">
        <f>IF(C191,(M181)/(C191+U181),"")</f>
        <v/>
      </c>
      <c r="I191" s="1" t="str">
        <f>IF(C191,(M182)/(C191+U182),"")</f>
        <v/>
      </c>
      <c r="J191" s="1" t="str">
        <f>IF(C191,(M183)/(C191+U183),"")</f>
        <v/>
      </c>
      <c r="K191" s="14" t="str">
        <f>IF(AND(C191&lt;&gt;"",N177&lt;&gt;""),9.8*N177*LN((C191+U179)/(C191+V179)),"")</f>
        <v/>
      </c>
      <c r="L191" s="1" t="str">
        <f>IF(C191,9.8*F180*LN((C191+U180)/(C191+V180)),"")</f>
        <v/>
      </c>
      <c r="M191" s="1" t="str">
        <f>IF(C191,9.8*F181*LN((C191+U181)/(C191+V181)),"")</f>
        <v/>
      </c>
      <c r="N191" s="1" t="str">
        <f>IF(C191,9.8*F182*LN((C191+U182)/(C191+V182)),"")</f>
        <v/>
      </c>
      <c r="O191" s="1" t="str">
        <f>IF(C191,9.8*F183*LN((C191+U183)/(C191+V183)),"")</f>
        <v/>
      </c>
      <c r="P191" s="15" t="str">
        <f>IF(C191,SUM(K191:O191),"")</f>
        <v/>
      </c>
      <c r="Q191" s="1"/>
      <c r="R191" s="1"/>
      <c r="S191" s="1"/>
      <c r="T191" s="32" t="str">
        <f t="shared" ref="T191:T193" si="59">IF(OR(F191&lt;1,AND(F191="",G191&lt;1)),"起飞推重比不得小于0，空天飞机除外","")</f>
        <v/>
      </c>
      <c r="U191" s="1"/>
      <c r="V191" s="1"/>
    </row>
    <row r="192" spans="1:23">
      <c r="A192" s="47"/>
      <c r="B192" s="27" t="s">
        <v>32</v>
      </c>
      <c r="C192" s="9"/>
      <c r="D192" s="1" t="str">
        <f>IF(C192,C192+Q179,"")</f>
        <v/>
      </c>
      <c r="E192" s="72" t="str">
        <f t="shared" si="58"/>
        <v/>
      </c>
      <c r="F192" s="14" t="str">
        <f>IF(AND(C192&lt;&gt;"",N177&lt;&gt;""),(M179/F179*E177+M180/F180*D177)/(C192+U179),"")</f>
        <v/>
      </c>
      <c r="G192" s="1" t="str">
        <f>IF(C192,IF(AND(F179&lt;&gt;0,C177&lt;&gt;0),M180,M180/F180*D177)/(C192+U180),"")</f>
        <v/>
      </c>
      <c r="H192" s="1" t="str">
        <f>IF(C192,(M181)/(C192+U181),"")</f>
        <v/>
      </c>
      <c r="I192" s="1" t="str">
        <f>IF(C192,(M182)/(C192+U182),"")</f>
        <v/>
      </c>
      <c r="J192" s="1" t="str">
        <f>IF(C192,(M183)/(C192+U183),"")</f>
        <v/>
      </c>
      <c r="K192" s="14" t="str">
        <f>IF(AND(C192&lt;&gt;"",N177&lt;&gt;""),9.8*N177*LN((C192+U179)/(C192+V179)),"")</f>
        <v/>
      </c>
      <c r="L192" s="1" t="str">
        <f>IF(C192,9.8*F180*LN((C192+U180)/(C192+V180)),"")</f>
        <v/>
      </c>
      <c r="M192" s="1" t="str">
        <f>IF(C192,9.8*F181*LN((C192+U181)/(C192+V181)),"")</f>
        <v/>
      </c>
      <c r="N192" s="1" t="str">
        <f>IF(C192,9.8*F182*LN((C192+U182)/(C192+V182)),"")</f>
        <v/>
      </c>
      <c r="O192" s="1" t="str">
        <f>IF(C192,9.8*F183*LN((C192+U183)/(C192+V183)),"")</f>
        <v/>
      </c>
      <c r="P192" s="15" t="str">
        <f>IF(C192,SUM(K192:O192),"")</f>
        <v/>
      </c>
      <c r="Q192" s="1"/>
      <c r="R192" s="1"/>
      <c r="S192" s="1"/>
      <c r="T192" s="32" t="str">
        <f t="shared" si="59"/>
        <v/>
      </c>
      <c r="U192" s="1"/>
      <c r="V192" s="1"/>
    </row>
    <row r="193" spans="1:22" ht="15" thickBot="1">
      <c r="A193" s="48" t="s">
        <v>46</v>
      </c>
      <c r="B193" s="49" t="s">
        <v>33</v>
      </c>
      <c r="C193" s="50"/>
      <c r="D193" s="25" t="str">
        <f>IF(C193,C193+Q179,"")</f>
        <v/>
      </c>
      <c r="E193" s="73" t="str">
        <f t="shared" si="58"/>
        <v/>
      </c>
      <c r="F193" s="70" t="str">
        <f>IF(AND(C193&lt;&gt;"",N177&lt;&gt;""),(M179/F179*E177+M180/F180*D177)/(C193+U179),"")</f>
        <v/>
      </c>
      <c r="G193" s="25" t="str">
        <f>IF(C193,IF(AND(F179&lt;&gt;0,C177&lt;&gt;0),M180,M180/F180*D177)/(C193+U180),"")</f>
        <v/>
      </c>
      <c r="H193" s="25" t="str">
        <f>IF(C193,(M181)/(C193+U181),"")</f>
        <v/>
      </c>
      <c r="I193" s="25" t="str">
        <f>IF(C193,(M182)/(C193+U182),"")</f>
        <v/>
      </c>
      <c r="J193" s="25" t="str">
        <f>IF(C193,(M183)/(C193+U183),"")</f>
        <v/>
      </c>
      <c r="K193" s="70" t="str">
        <f>IF(AND(C193&lt;&gt;"",N177&lt;&gt;""),9.8*N177*LN((C193+U179)/(C193+V179)),"")</f>
        <v/>
      </c>
      <c r="L193" s="25" t="str">
        <f>IF(C193,9.8*F180*LN((C193+U180)/(C193+V180)),"")</f>
        <v/>
      </c>
      <c r="M193" s="25" t="str">
        <f>IF(C193,9.8*F181*LN((C193+U181)/(C193+V181)),"")</f>
        <v/>
      </c>
      <c r="N193" s="25" t="str">
        <f>IF(C193,9.8*F182*LN((C193+U182)/(C193+V182)),"")</f>
        <v/>
      </c>
      <c r="O193" s="25" t="str">
        <f>IF(C193,9.8*F183*LN((C193+U183)/(C193+V183)),"")</f>
        <v/>
      </c>
      <c r="P193" s="71" t="str">
        <f>IF(C193,SUM(K193:O193),"")</f>
        <v/>
      </c>
      <c r="Q193" s="25"/>
      <c r="R193" s="25"/>
      <c r="S193" s="25"/>
      <c r="T193" s="51" t="str">
        <f t="shared" si="59"/>
        <v/>
      </c>
      <c r="U193" s="25"/>
      <c r="V193" s="25"/>
    </row>
    <row r="196" spans="1:22">
      <c r="B196" s="75" t="s">
        <v>317</v>
      </c>
    </row>
    <row r="197" spans="1:22">
      <c r="B197" s="75" t="s">
        <v>318</v>
      </c>
    </row>
  </sheetData>
  <mergeCells count="81">
    <mergeCell ref="Q189:S189"/>
    <mergeCell ref="P177:R177"/>
    <mergeCell ref="S177:V177"/>
    <mergeCell ref="P158:R158"/>
    <mergeCell ref="S158:V158"/>
    <mergeCell ref="Q184:S184"/>
    <mergeCell ref="D176:E176"/>
    <mergeCell ref="I176:K176"/>
    <mergeCell ref="M176:O176"/>
    <mergeCell ref="P139:R139"/>
    <mergeCell ref="S139:V139"/>
    <mergeCell ref="D157:E157"/>
    <mergeCell ref="I157:K157"/>
    <mergeCell ref="M157:O157"/>
    <mergeCell ref="Q146:S146"/>
    <mergeCell ref="Q151:S151"/>
    <mergeCell ref="Q165:S165"/>
    <mergeCell ref="Q170:S170"/>
    <mergeCell ref="P120:R120"/>
    <mergeCell ref="S120:V120"/>
    <mergeCell ref="D138:E138"/>
    <mergeCell ref="I138:K138"/>
    <mergeCell ref="M138:O138"/>
    <mergeCell ref="Q127:S127"/>
    <mergeCell ref="Q132:S132"/>
    <mergeCell ref="D119:E119"/>
    <mergeCell ref="I119:K119"/>
    <mergeCell ref="M119:O119"/>
    <mergeCell ref="D81:E81"/>
    <mergeCell ref="I81:K81"/>
    <mergeCell ref="M81:O81"/>
    <mergeCell ref="D100:E100"/>
    <mergeCell ref="I100:K100"/>
    <mergeCell ref="M100:O100"/>
    <mergeCell ref="D62:E62"/>
    <mergeCell ref="I62:K62"/>
    <mergeCell ref="M62:O62"/>
    <mergeCell ref="P44:R44"/>
    <mergeCell ref="Q51:S51"/>
    <mergeCell ref="Q56:S56"/>
    <mergeCell ref="D43:E43"/>
    <mergeCell ref="I43:K43"/>
    <mergeCell ref="M43:O43"/>
    <mergeCell ref="Q32:S32"/>
    <mergeCell ref="Q37:S37"/>
    <mergeCell ref="Q13:S13"/>
    <mergeCell ref="Q18:S18"/>
    <mergeCell ref="D24:E24"/>
    <mergeCell ref="I24:K24"/>
    <mergeCell ref="M24:O24"/>
    <mergeCell ref="D5:E5"/>
    <mergeCell ref="I5:K5"/>
    <mergeCell ref="M5:O5"/>
    <mergeCell ref="P6:R6"/>
    <mergeCell ref="S6:V6"/>
    <mergeCell ref="P101:R101"/>
    <mergeCell ref="S101:V101"/>
    <mergeCell ref="Q113:S113"/>
    <mergeCell ref="S25:V25"/>
    <mergeCell ref="P25:R25"/>
    <mergeCell ref="S44:V44"/>
    <mergeCell ref="P63:R63"/>
    <mergeCell ref="S63:V63"/>
    <mergeCell ref="P82:R82"/>
    <mergeCell ref="S82:V82"/>
    <mergeCell ref="Q70:S70"/>
    <mergeCell ref="Q75:S75"/>
    <mergeCell ref="Q89:S89"/>
    <mergeCell ref="Q94:S94"/>
    <mergeCell ref="Q108:S108"/>
    <mergeCell ref="B3:C3"/>
    <mergeCell ref="D3:E3"/>
    <mergeCell ref="F3:G3"/>
    <mergeCell ref="H3:I3"/>
    <mergeCell ref="J3:K3"/>
    <mergeCell ref="V3:W3"/>
    <mergeCell ref="L3:M3"/>
    <mergeCell ref="N3:O3"/>
    <mergeCell ref="P3:Q3"/>
    <mergeCell ref="R3:S3"/>
    <mergeCell ref="T3:U3"/>
  </mergeCells>
  <phoneticPr fontId="1" type="noConversion"/>
  <conditionalFormatting sqref="P9">
    <cfRule type="expression" dxfId="875" priority="202">
      <formula>P9&lt;P8</formula>
    </cfRule>
  </conditionalFormatting>
  <conditionalFormatting sqref="T9">
    <cfRule type="expression" dxfId="874" priority="201">
      <formula>T9&lt;T8</formula>
    </cfRule>
  </conditionalFormatting>
  <conditionalFormatting sqref="L8:V12 D14:D17 D19:D22">
    <cfRule type="expression" dxfId="873" priority="200">
      <formula>ROUND(D8,3)&lt;&gt;D8</formula>
    </cfRule>
  </conditionalFormatting>
  <conditionalFormatting sqref="L8:V12 D14:D17 D19:D22">
    <cfRule type="expression" dxfId="872" priority="198">
      <formula>D8=0</formula>
    </cfRule>
  </conditionalFormatting>
  <conditionalFormatting sqref="L6">
    <cfRule type="expression" dxfId="871" priority="190">
      <formula>ROUND(L6,3)&lt;&gt;L6</formula>
    </cfRule>
    <cfRule type="expression" dxfId="870" priority="195">
      <formula>L6=0</formula>
    </cfRule>
  </conditionalFormatting>
  <conditionalFormatting sqref="Q8">
    <cfRule type="expression" dxfId="869" priority="194">
      <formula>NOT(AND(F8&lt;&gt;0,C6&lt;&gt;0))</formula>
    </cfRule>
  </conditionalFormatting>
  <conditionalFormatting sqref="R8">
    <cfRule type="expression" dxfId="868" priority="193">
      <formula>NOT(AND(F8&lt;&gt;0,C6&lt;&gt;0))</formula>
    </cfRule>
  </conditionalFormatting>
  <conditionalFormatting sqref="U8">
    <cfRule type="expression" dxfId="867" priority="192">
      <formula>NOT(AND(F8&lt;&gt;0,C6&lt;&gt;0))</formula>
    </cfRule>
  </conditionalFormatting>
  <conditionalFormatting sqref="V8">
    <cfRule type="expression" dxfId="866" priority="191">
      <formula>NOT(AND(F8&lt;&gt;0,C6&lt;&gt;0))</formula>
    </cfRule>
  </conditionalFormatting>
  <conditionalFormatting sqref="P28">
    <cfRule type="expression" dxfId="865" priority="189">
      <formula>P28&lt;P27</formula>
    </cfRule>
  </conditionalFormatting>
  <conditionalFormatting sqref="T28">
    <cfRule type="expression" dxfId="864" priority="188">
      <formula>T28&lt;T27</formula>
    </cfRule>
  </conditionalFormatting>
  <conditionalFormatting sqref="L27:V31 D33:D36 D38:D41">
    <cfRule type="expression" dxfId="863" priority="187">
      <formula>ROUND(D27,3)&lt;&gt;D27</formula>
    </cfRule>
  </conditionalFormatting>
  <conditionalFormatting sqref="L27:V31 D33:D36 D38:D41">
    <cfRule type="expression" dxfId="862" priority="185">
      <formula>D27=0</formula>
    </cfRule>
  </conditionalFormatting>
  <conditionalFormatting sqref="L25">
    <cfRule type="expression" dxfId="861" priority="177">
      <formula>ROUND(L25,3)&lt;&gt;L25</formula>
    </cfRule>
    <cfRule type="expression" dxfId="860" priority="182">
      <formula>L25=0</formula>
    </cfRule>
  </conditionalFormatting>
  <conditionalFormatting sqref="Q27">
    <cfRule type="expression" dxfId="859" priority="181">
      <formula>NOT(AND(F27&lt;&gt;0,C25&lt;&gt;0))</formula>
    </cfRule>
  </conditionalFormatting>
  <conditionalFormatting sqref="R27">
    <cfRule type="expression" dxfId="858" priority="180">
      <formula>NOT(AND(F27&lt;&gt;0,C25&lt;&gt;0))</formula>
    </cfRule>
  </conditionalFormatting>
  <conditionalFormatting sqref="U27">
    <cfRule type="expression" dxfId="857" priority="179">
      <formula>NOT(AND(F27&lt;&gt;0,C25&lt;&gt;0))</formula>
    </cfRule>
  </conditionalFormatting>
  <conditionalFormatting sqref="V27">
    <cfRule type="expression" dxfId="856" priority="178">
      <formula>NOT(AND(F27&lt;&gt;0,C25&lt;&gt;0))</formula>
    </cfRule>
  </conditionalFormatting>
  <conditionalFormatting sqref="P47">
    <cfRule type="expression" dxfId="855" priority="176">
      <formula>P47&lt;P46</formula>
    </cfRule>
  </conditionalFormatting>
  <conditionalFormatting sqref="T47">
    <cfRule type="expression" dxfId="854" priority="175">
      <formula>T47&lt;T46</formula>
    </cfRule>
  </conditionalFormatting>
  <conditionalFormatting sqref="L46:V50 D52:D55 D57:D60">
    <cfRule type="expression" dxfId="853" priority="174">
      <formula>ROUND(D46,3)&lt;&gt;D46</formula>
    </cfRule>
  </conditionalFormatting>
  <conditionalFormatting sqref="L46:V50 D52:D55 D57:D60">
    <cfRule type="expression" dxfId="852" priority="172">
      <formula>D46=0</formula>
    </cfRule>
  </conditionalFormatting>
  <conditionalFormatting sqref="L44">
    <cfRule type="expression" dxfId="851" priority="164">
      <formula>ROUND(L44,3)&lt;&gt;L44</formula>
    </cfRule>
    <cfRule type="expression" dxfId="850" priority="169">
      <formula>L44=0</formula>
    </cfRule>
  </conditionalFormatting>
  <conditionalFormatting sqref="Q46">
    <cfRule type="expression" dxfId="849" priority="168">
      <formula>NOT(AND(F46&lt;&gt;0,C44&lt;&gt;0))</formula>
    </cfRule>
  </conditionalFormatting>
  <conditionalFormatting sqref="R46">
    <cfRule type="expression" dxfId="848" priority="167">
      <formula>NOT(AND(F46&lt;&gt;0,C44&lt;&gt;0))</formula>
    </cfRule>
  </conditionalFormatting>
  <conditionalFormatting sqref="U46">
    <cfRule type="expression" dxfId="847" priority="166">
      <formula>NOT(AND(F46&lt;&gt;0,C44&lt;&gt;0))</formula>
    </cfRule>
  </conditionalFormatting>
  <conditionalFormatting sqref="V46">
    <cfRule type="expression" dxfId="846" priority="165">
      <formula>NOT(AND(F46&lt;&gt;0,C44&lt;&gt;0))</formula>
    </cfRule>
  </conditionalFormatting>
  <conditionalFormatting sqref="P66">
    <cfRule type="expression" dxfId="845" priority="163">
      <formula>P66&lt;P65</formula>
    </cfRule>
  </conditionalFormatting>
  <conditionalFormatting sqref="T66">
    <cfRule type="expression" dxfId="844" priority="162">
      <formula>T66&lt;T65</formula>
    </cfRule>
  </conditionalFormatting>
  <conditionalFormatting sqref="L65:V69 D71:D74 D76:D79">
    <cfRule type="expression" dxfId="843" priority="161">
      <formula>ROUND(D65,3)&lt;&gt;D65</formula>
    </cfRule>
  </conditionalFormatting>
  <conditionalFormatting sqref="L65:V69 D71:D74 D76:D79">
    <cfRule type="expression" dxfId="842" priority="159">
      <formula>D65=0</formula>
    </cfRule>
  </conditionalFormatting>
  <conditionalFormatting sqref="L63">
    <cfRule type="expression" dxfId="841" priority="151">
      <formula>ROUND(L63,3)&lt;&gt;L63</formula>
    </cfRule>
    <cfRule type="expression" dxfId="840" priority="156">
      <formula>L63=0</formula>
    </cfRule>
  </conditionalFormatting>
  <conditionalFormatting sqref="Q65">
    <cfRule type="expression" dxfId="839" priority="155">
      <formula>NOT(AND(F65&lt;&gt;0,C63&lt;&gt;0))</formula>
    </cfRule>
  </conditionalFormatting>
  <conditionalFormatting sqref="R65">
    <cfRule type="expression" dxfId="838" priority="154">
      <formula>NOT(AND(F65&lt;&gt;0,C63&lt;&gt;0))</formula>
    </cfRule>
  </conditionalFormatting>
  <conditionalFormatting sqref="U65">
    <cfRule type="expression" dxfId="837" priority="153">
      <formula>NOT(AND(F65&lt;&gt;0,C63&lt;&gt;0))</formula>
    </cfRule>
  </conditionalFormatting>
  <conditionalFormatting sqref="V65">
    <cfRule type="expression" dxfId="836" priority="152">
      <formula>NOT(AND(F65&lt;&gt;0,C63&lt;&gt;0))</formula>
    </cfRule>
  </conditionalFormatting>
  <conditionalFormatting sqref="P123">
    <cfRule type="expression" dxfId="835" priority="150">
      <formula>P123&lt;P122</formula>
    </cfRule>
  </conditionalFormatting>
  <conditionalFormatting sqref="T123">
    <cfRule type="expression" dxfId="834" priority="149">
      <formula>T123&lt;T122</formula>
    </cfRule>
  </conditionalFormatting>
  <conditionalFormatting sqref="L122:V126 D128:D131 D133:D136">
    <cfRule type="expression" dxfId="833" priority="148">
      <formula>ROUND(D122,3)&lt;&gt;D122</formula>
    </cfRule>
  </conditionalFormatting>
  <conditionalFormatting sqref="L122:V126 D128:D131 D133:D136">
    <cfRule type="expression" dxfId="832" priority="146">
      <formula>D122=0</formula>
    </cfRule>
  </conditionalFormatting>
  <conditionalFormatting sqref="L120">
    <cfRule type="expression" dxfId="831" priority="138">
      <formula>ROUND(L120,3)&lt;&gt;L120</formula>
    </cfRule>
    <cfRule type="expression" dxfId="830" priority="143">
      <formula>L120=0</formula>
    </cfRule>
  </conditionalFormatting>
  <conditionalFormatting sqref="Q122">
    <cfRule type="expression" dxfId="829" priority="142">
      <formula>NOT(AND(F122&lt;&gt;0,C120&lt;&gt;0))</formula>
    </cfRule>
  </conditionalFormatting>
  <conditionalFormatting sqref="R122">
    <cfRule type="expression" dxfId="828" priority="141">
      <formula>NOT(AND(F122&lt;&gt;0,C120&lt;&gt;0))</formula>
    </cfRule>
  </conditionalFormatting>
  <conditionalFormatting sqref="U122">
    <cfRule type="expression" dxfId="827" priority="140">
      <formula>NOT(AND(F122&lt;&gt;0,C120&lt;&gt;0))</formula>
    </cfRule>
  </conditionalFormatting>
  <conditionalFormatting sqref="V122">
    <cfRule type="expression" dxfId="826" priority="139">
      <formula>NOT(AND(F122&lt;&gt;0,C120&lt;&gt;0))</formula>
    </cfRule>
  </conditionalFormatting>
  <conditionalFormatting sqref="P142">
    <cfRule type="expression" dxfId="825" priority="137">
      <formula>P142&lt;P141</formula>
    </cfRule>
  </conditionalFormatting>
  <conditionalFormatting sqref="T142">
    <cfRule type="expression" dxfId="824" priority="136">
      <formula>T142&lt;T141</formula>
    </cfRule>
  </conditionalFormatting>
  <conditionalFormatting sqref="L141:V145 D147:D150 D152:D155">
    <cfRule type="expression" dxfId="823" priority="135">
      <formula>ROUND(D141,3)&lt;&gt;D141</formula>
    </cfRule>
  </conditionalFormatting>
  <conditionalFormatting sqref="L141:V145 D147:D150 D152:D155">
    <cfRule type="expression" dxfId="822" priority="133">
      <formula>D141=0</formula>
    </cfRule>
  </conditionalFormatting>
  <conditionalFormatting sqref="L139">
    <cfRule type="expression" dxfId="821" priority="125">
      <formula>ROUND(L139,3)&lt;&gt;L139</formula>
    </cfRule>
    <cfRule type="expression" dxfId="820" priority="130">
      <formula>L139=0</formula>
    </cfRule>
  </conditionalFormatting>
  <conditionalFormatting sqref="Q141">
    <cfRule type="expression" dxfId="819" priority="129">
      <formula>NOT(AND(F141&lt;&gt;0,C139&lt;&gt;0))</formula>
    </cfRule>
  </conditionalFormatting>
  <conditionalFormatting sqref="R141">
    <cfRule type="expression" dxfId="818" priority="128">
      <formula>NOT(AND(F141&lt;&gt;0,C139&lt;&gt;0))</formula>
    </cfRule>
  </conditionalFormatting>
  <conditionalFormatting sqref="U141">
    <cfRule type="expression" dxfId="817" priority="127">
      <formula>NOT(AND(F141&lt;&gt;0,C139&lt;&gt;0))</formula>
    </cfRule>
  </conditionalFormatting>
  <conditionalFormatting sqref="V141">
    <cfRule type="expression" dxfId="816" priority="126">
      <formula>NOT(AND(F141&lt;&gt;0,C139&lt;&gt;0))</formula>
    </cfRule>
  </conditionalFormatting>
  <conditionalFormatting sqref="P161">
    <cfRule type="expression" dxfId="815" priority="124">
      <formula>P161&lt;P160</formula>
    </cfRule>
  </conditionalFormatting>
  <conditionalFormatting sqref="T161">
    <cfRule type="expression" dxfId="814" priority="123">
      <formula>T161&lt;T160</formula>
    </cfRule>
  </conditionalFormatting>
  <conditionalFormatting sqref="L160:V164 D166:D169 D171:D174">
    <cfRule type="expression" dxfId="813" priority="122">
      <formula>ROUND(D160,3)&lt;&gt;D160</formula>
    </cfRule>
  </conditionalFormatting>
  <conditionalFormatting sqref="L160:V164 D166:D169 D171:D174">
    <cfRule type="expression" dxfId="812" priority="120">
      <formula>D160=0</formula>
    </cfRule>
  </conditionalFormatting>
  <conditionalFormatting sqref="L158">
    <cfRule type="expression" dxfId="811" priority="112">
      <formula>ROUND(L158,3)&lt;&gt;L158</formula>
    </cfRule>
    <cfRule type="expression" dxfId="810" priority="117">
      <formula>L158=0</formula>
    </cfRule>
  </conditionalFormatting>
  <conditionalFormatting sqref="Q160">
    <cfRule type="expression" dxfId="809" priority="116">
      <formula>NOT(AND(F160&lt;&gt;0,C158&lt;&gt;0))</formula>
    </cfRule>
  </conditionalFormatting>
  <conditionalFormatting sqref="R160">
    <cfRule type="expression" dxfId="808" priority="115">
      <formula>NOT(AND(F160&lt;&gt;0,C158&lt;&gt;0))</formula>
    </cfRule>
  </conditionalFormatting>
  <conditionalFormatting sqref="U160">
    <cfRule type="expression" dxfId="807" priority="114">
      <formula>NOT(AND(F160&lt;&gt;0,C158&lt;&gt;0))</formula>
    </cfRule>
  </conditionalFormatting>
  <conditionalFormatting sqref="V160">
    <cfRule type="expression" dxfId="806" priority="113">
      <formula>NOT(AND(F160&lt;&gt;0,C158&lt;&gt;0))</formula>
    </cfRule>
  </conditionalFormatting>
  <conditionalFormatting sqref="P180">
    <cfRule type="expression" dxfId="805" priority="111">
      <formula>P180&lt;P179</formula>
    </cfRule>
  </conditionalFormatting>
  <conditionalFormatting sqref="T180">
    <cfRule type="expression" dxfId="804" priority="110">
      <formula>T180&lt;T179</formula>
    </cfRule>
  </conditionalFormatting>
  <conditionalFormatting sqref="L179:V183 D185:D188 D190:D193">
    <cfRule type="expression" dxfId="803" priority="109">
      <formula>ROUND(D179,3)&lt;&gt;D179</formula>
    </cfRule>
  </conditionalFormatting>
  <conditionalFormatting sqref="L179:V183 D185:D188 D190:D193">
    <cfRule type="expression" dxfId="802" priority="107">
      <formula>D179=0</formula>
    </cfRule>
  </conditionalFormatting>
  <conditionalFormatting sqref="L177">
    <cfRule type="expression" dxfId="801" priority="99">
      <formula>ROUND(L177,3)&lt;&gt;L177</formula>
    </cfRule>
    <cfRule type="expression" dxfId="800" priority="104">
      <formula>L177=0</formula>
    </cfRule>
  </conditionalFormatting>
  <conditionalFormatting sqref="Q179">
    <cfRule type="expression" dxfId="799" priority="103">
      <formula>NOT(AND(F179&lt;&gt;0,C177&lt;&gt;0))</formula>
    </cfRule>
  </conditionalFormatting>
  <conditionalFormatting sqref="R179">
    <cfRule type="expression" dxfId="798" priority="102">
      <formula>NOT(AND(F179&lt;&gt;0,C177&lt;&gt;0))</formula>
    </cfRule>
  </conditionalFormatting>
  <conditionalFormatting sqref="U179">
    <cfRule type="expression" dxfId="797" priority="101">
      <formula>NOT(AND(F179&lt;&gt;0,C177&lt;&gt;0))</formula>
    </cfRule>
  </conditionalFormatting>
  <conditionalFormatting sqref="V179">
    <cfRule type="expression" dxfId="796" priority="100">
      <formula>NOT(AND(F179&lt;&gt;0,C177&lt;&gt;0))</formula>
    </cfRule>
  </conditionalFormatting>
  <conditionalFormatting sqref="P85">
    <cfRule type="expression" dxfId="795" priority="98">
      <formula>P85&lt;P84</formula>
    </cfRule>
  </conditionalFormatting>
  <conditionalFormatting sqref="T85">
    <cfRule type="expression" dxfId="794" priority="97">
      <formula>T85&lt;T84</formula>
    </cfRule>
  </conditionalFormatting>
  <conditionalFormatting sqref="L84:V88 D90:D93 D95:D98">
    <cfRule type="expression" dxfId="793" priority="96">
      <formula>ROUND(D84,3)&lt;&gt;D84</formula>
    </cfRule>
  </conditionalFormatting>
  <conditionalFormatting sqref="L84:V88 D90:D93 D95:D98">
    <cfRule type="expression" dxfId="792" priority="94">
      <formula>D84=0</formula>
    </cfRule>
  </conditionalFormatting>
  <conditionalFormatting sqref="L82">
    <cfRule type="expression" dxfId="791" priority="86">
      <formula>ROUND(L82,3)&lt;&gt;L82</formula>
    </cfRule>
    <cfRule type="expression" dxfId="790" priority="91">
      <formula>L82=0</formula>
    </cfRule>
  </conditionalFormatting>
  <conditionalFormatting sqref="Q84">
    <cfRule type="expression" dxfId="789" priority="90">
      <formula>NOT(AND(F84&lt;&gt;0,C82&lt;&gt;0))</formula>
    </cfRule>
  </conditionalFormatting>
  <conditionalFormatting sqref="R84">
    <cfRule type="expression" dxfId="788" priority="89">
      <formula>NOT(AND(F84&lt;&gt;0,C82&lt;&gt;0))</formula>
    </cfRule>
  </conditionalFormatting>
  <conditionalFormatting sqref="U84">
    <cfRule type="expression" dxfId="787" priority="88">
      <formula>NOT(AND(F84&lt;&gt;0,C82&lt;&gt;0))</formula>
    </cfRule>
  </conditionalFormatting>
  <conditionalFormatting sqref="V84">
    <cfRule type="expression" dxfId="786" priority="87">
      <formula>NOT(AND(F84&lt;&gt;0,C82&lt;&gt;0))</formula>
    </cfRule>
  </conditionalFormatting>
  <conditionalFormatting sqref="P104">
    <cfRule type="expression" dxfId="785" priority="85">
      <formula>P104&lt;P103</formula>
    </cfRule>
  </conditionalFormatting>
  <conditionalFormatting sqref="T104">
    <cfRule type="expression" dxfId="784" priority="84">
      <formula>T104&lt;T103</formula>
    </cfRule>
  </conditionalFormatting>
  <conditionalFormatting sqref="L103:V107 D109:D112 D114:D117">
    <cfRule type="expression" dxfId="783" priority="83">
      <formula>ROUND(D103,3)&lt;&gt;D103</formula>
    </cfRule>
  </conditionalFormatting>
  <conditionalFormatting sqref="N101">
    <cfRule type="expression" dxfId="782" priority="57">
      <formula>ROUND(N101,1)&lt;&gt;N101</formula>
    </cfRule>
  </conditionalFormatting>
  <conditionalFormatting sqref="L103:V107 D109:D112 D114:D117">
    <cfRule type="expression" dxfId="781" priority="81">
      <formula>D103=0</formula>
    </cfRule>
  </conditionalFormatting>
  <conditionalFormatting sqref="L101">
    <cfRule type="expression" dxfId="780" priority="73">
      <formula>ROUND(L101,3)&lt;&gt;L101</formula>
    </cfRule>
    <cfRule type="expression" dxfId="779" priority="78">
      <formula>L101=0</formula>
    </cfRule>
  </conditionalFormatting>
  <conditionalFormatting sqref="Q103">
    <cfRule type="expression" dxfId="778" priority="77">
      <formula>NOT(AND(F103&lt;&gt;0,C101&lt;&gt;0))</formula>
    </cfRule>
  </conditionalFormatting>
  <conditionalFormatting sqref="R103">
    <cfRule type="expression" dxfId="777" priority="76">
      <formula>NOT(AND(F103&lt;&gt;0,C101&lt;&gt;0))</formula>
    </cfRule>
  </conditionalFormatting>
  <conditionalFormatting sqref="U103">
    <cfRule type="expression" dxfId="776" priority="75">
      <formula>NOT(AND(F103&lt;&gt;0,C101&lt;&gt;0))</formula>
    </cfRule>
  </conditionalFormatting>
  <conditionalFormatting sqref="V103">
    <cfRule type="expression" dxfId="775" priority="74">
      <formula>NOT(AND(F103&lt;&gt;0,C101&lt;&gt;0))</formula>
    </cfRule>
  </conditionalFormatting>
  <conditionalFormatting sqref="H6">
    <cfRule type="expression" dxfId="774" priority="72">
      <formula>ROUND(IF(H6="隐藏水印。作者：战犬金龟（贴吧/B站）",1,0),1)</formula>
    </cfRule>
  </conditionalFormatting>
  <conditionalFormatting sqref="H25">
    <cfRule type="expression" dxfId="773" priority="71">
      <formula>ROUND(IF(H25="隐藏水印。作者：战犬金龟（贴吧/B站）",1,0),1)</formula>
    </cfRule>
  </conditionalFormatting>
  <conditionalFormatting sqref="H44">
    <cfRule type="expression" dxfId="772" priority="70">
      <formula>ROUND(IF(H44="隐藏水印。作者：战犬金龟（贴吧/B站）",1,0),1)</formula>
    </cfRule>
  </conditionalFormatting>
  <conditionalFormatting sqref="H63">
    <cfRule type="expression" dxfId="771" priority="69">
      <formula>ROUND(IF(H63="隐藏水印。作者：战犬金龟（贴吧/B站）",1,0),1)</formula>
    </cfRule>
  </conditionalFormatting>
  <conditionalFormatting sqref="H82">
    <cfRule type="expression" dxfId="770" priority="68">
      <formula>ROUND(IF(H82="隐藏水印。作者：战犬金龟（贴吧/B站）",1,0),1)</formula>
    </cfRule>
  </conditionalFormatting>
  <conditionalFormatting sqref="H101">
    <cfRule type="expression" dxfId="769" priority="67">
      <formula>ROUND(IF(H101="隐藏水印。作者：战犬金龟（贴吧/B站）",1,0),1)</formula>
    </cfRule>
  </conditionalFormatting>
  <conditionalFormatting sqref="H120">
    <cfRule type="expression" dxfId="768" priority="66">
      <formula>ROUND(IF(H120="隐藏水印。作者：战犬金龟（贴吧/B站）",1,0),1)</formula>
    </cfRule>
  </conditionalFormatting>
  <conditionalFormatting sqref="H139">
    <cfRule type="expression" dxfId="767" priority="65">
      <formula>ROUND(IF(H139="隐藏水印。作者：战犬金龟（贴吧/B站）",1,0),1)</formula>
    </cfRule>
  </conditionalFormatting>
  <conditionalFormatting sqref="H158">
    <cfRule type="expression" dxfId="766" priority="64">
      <formula>ROUND(IF(H158="隐藏水印。作者：战犬金龟（贴吧/B站）",1,0),1)</formula>
    </cfRule>
  </conditionalFormatting>
  <conditionalFormatting sqref="H177">
    <cfRule type="expression" dxfId="765" priority="63">
      <formula>ROUND(IF(H177="隐藏水印。作者：战犬金龟（贴吧/B站）",1,0),1)</formula>
    </cfRule>
  </conditionalFormatting>
  <conditionalFormatting sqref="N6">
    <cfRule type="expression" dxfId="764" priority="62">
      <formula>ROUND(N6,1)&lt;&gt;N6</formula>
    </cfRule>
  </conditionalFormatting>
  <conditionalFormatting sqref="N25">
    <cfRule type="expression" dxfId="763" priority="61">
      <formula>ROUND(N25,1)&lt;&gt;N25</formula>
    </cfRule>
  </conditionalFormatting>
  <conditionalFormatting sqref="N44">
    <cfRule type="expression" dxfId="762" priority="60">
      <formula>ROUND(N44,1)&lt;&gt;N44</formula>
    </cfRule>
  </conditionalFormatting>
  <conditionalFormatting sqref="N63">
    <cfRule type="expression" dxfId="761" priority="59">
      <formula>ROUND(N63,1)&lt;&gt;N63</formula>
    </cfRule>
  </conditionalFormatting>
  <conditionalFormatting sqref="N82">
    <cfRule type="expression" dxfId="760" priority="58">
      <formula>ROUND(N82,1)&lt;&gt;N82</formula>
    </cfRule>
  </conditionalFormatting>
  <conditionalFormatting sqref="N120">
    <cfRule type="expression" dxfId="759" priority="56">
      <formula>ROUND(N120,1)&lt;&gt;N120</formula>
    </cfRule>
  </conditionalFormatting>
  <conditionalFormatting sqref="N139">
    <cfRule type="expression" dxfId="758" priority="55">
      <formula>ROUND(N139,1)&lt;&gt;N139</formula>
    </cfRule>
  </conditionalFormatting>
  <conditionalFormatting sqref="N158">
    <cfRule type="expression" dxfId="757" priority="54">
      <formula>ROUND(N158,1)&lt;&gt;N158</formula>
    </cfRule>
  </conditionalFormatting>
  <conditionalFormatting sqref="N177">
    <cfRule type="expression" dxfId="756" priority="53">
      <formula>ROUND(N177,1)&lt;&gt;N177</formula>
    </cfRule>
  </conditionalFormatting>
  <conditionalFormatting sqref="F14:J17 F19:J22">
    <cfRule type="expression" dxfId="755" priority="52">
      <formula>ROUND(F14,3)&lt;&gt;F14</formula>
    </cfRule>
  </conditionalFormatting>
  <conditionalFormatting sqref="K14:P17 K19:P22">
    <cfRule type="expression" dxfId="754" priority="51">
      <formula>ROUND(K14,1)&lt;&gt;K14</formula>
    </cfRule>
  </conditionalFormatting>
  <conditionalFormatting sqref="F14:P17 F19:P22">
    <cfRule type="expression" dxfId="753" priority="50">
      <formula>F14=0</formula>
    </cfRule>
  </conditionalFormatting>
  <conditionalFormatting sqref="F14:F17 F19:F22">
    <cfRule type="expression" dxfId="752" priority="49">
      <formula>AND(T14&lt;&gt;"",F14&lt;&gt;"")</formula>
    </cfRule>
  </conditionalFormatting>
  <conditionalFormatting sqref="G14:G17 G19:G22">
    <cfRule type="expression" dxfId="751" priority="48">
      <formula>AND(T14&lt;&gt;"",F14="")</formula>
    </cfRule>
  </conditionalFormatting>
  <conditionalFormatting sqref="F33:J36 F38:J41">
    <cfRule type="expression" dxfId="750" priority="47">
      <formula>ROUND(F33,3)&lt;&gt;F33</formula>
    </cfRule>
  </conditionalFormatting>
  <conditionalFormatting sqref="K33:P36 K38:P41">
    <cfRule type="expression" dxfId="749" priority="46">
      <formula>ROUND(K33,1)&lt;&gt;K33</formula>
    </cfRule>
  </conditionalFormatting>
  <conditionalFormatting sqref="F33:P36 F38:P41">
    <cfRule type="expression" dxfId="748" priority="45">
      <formula>F33=0</formula>
    </cfRule>
  </conditionalFormatting>
  <conditionalFormatting sqref="F33:F36 F38:F41">
    <cfRule type="expression" dxfId="747" priority="44">
      <formula>AND(T33&lt;&gt;"",F33&lt;&gt;"")</formula>
    </cfRule>
  </conditionalFormatting>
  <conditionalFormatting sqref="G33:G36 G38:G41">
    <cfRule type="expression" dxfId="746" priority="43">
      <formula>AND(T33&lt;&gt;"",F33="")</formula>
    </cfRule>
  </conditionalFormatting>
  <conditionalFormatting sqref="F52:J55 F57:J60">
    <cfRule type="expression" dxfId="745" priority="42">
      <formula>ROUND(F52,3)&lt;&gt;F52</formula>
    </cfRule>
  </conditionalFormatting>
  <conditionalFormatting sqref="K52:P55 K57:P60">
    <cfRule type="expression" dxfId="744" priority="41">
      <formula>ROUND(K52,1)&lt;&gt;K52</formula>
    </cfRule>
  </conditionalFormatting>
  <conditionalFormatting sqref="F52:P55 F57:P60">
    <cfRule type="expression" dxfId="743" priority="40">
      <formula>F52=0</formula>
    </cfRule>
  </conditionalFormatting>
  <conditionalFormatting sqref="F52:F55 F57:F60">
    <cfRule type="expression" dxfId="742" priority="39">
      <formula>AND(T52&lt;&gt;"",F52&lt;&gt;"")</formula>
    </cfRule>
  </conditionalFormatting>
  <conditionalFormatting sqref="G52:G55 G57:G60">
    <cfRule type="expression" dxfId="741" priority="38">
      <formula>AND(T52&lt;&gt;"",F52="")</formula>
    </cfRule>
  </conditionalFormatting>
  <conditionalFormatting sqref="F71:J74 F76:J79">
    <cfRule type="expression" dxfId="740" priority="37">
      <formula>ROUND(F71,3)&lt;&gt;F71</formula>
    </cfRule>
  </conditionalFormatting>
  <conditionalFormatting sqref="K71:P74 K76:P79">
    <cfRule type="expression" dxfId="739" priority="36">
      <formula>ROUND(K71,1)&lt;&gt;K71</formula>
    </cfRule>
  </conditionalFormatting>
  <conditionalFormatting sqref="F71:P74 F76:P79">
    <cfRule type="expression" dxfId="738" priority="35">
      <formula>F71=0</formula>
    </cfRule>
  </conditionalFormatting>
  <conditionalFormatting sqref="F71:F74 F76:F79">
    <cfRule type="expression" dxfId="737" priority="34">
      <formula>AND(T71&lt;&gt;"",F71&lt;&gt;"")</formula>
    </cfRule>
  </conditionalFormatting>
  <conditionalFormatting sqref="G71:G74 G76:G79">
    <cfRule type="expression" dxfId="736" priority="33">
      <formula>AND(T71&lt;&gt;"",F71="")</formula>
    </cfRule>
  </conditionalFormatting>
  <conditionalFormatting sqref="F90:J93 F95:J98">
    <cfRule type="expression" dxfId="735" priority="32">
      <formula>ROUND(F90,3)&lt;&gt;F90</formula>
    </cfRule>
  </conditionalFormatting>
  <conditionalFormatting sqref="K90:P93 K95:P98">
    <cfRule type="expression" dxfId="734" priority="31">
      <formula>ROUND(K90,1)&lt;&gt;K90</formula>
    </cfRule>
  </conditionalFormatting>
  <conditionalFormatting sqref="F90:P93 F95:P98">
    <cfRule type="expression" dxfId="733" priority="30">
      <formula>F90=0</formula>
    </cfRule>
  </conditionalFormatting>
  <conditionalFormatting sqref="F90:F93 F95:F98">
    <cfRule type="expression" dxfId="732" priority="29">
      <formula>AND(T90&lt;&gt;"",F90&lt;&gt;"")</formula>
    </cfRule>
  </conditionalFormatting>
  <conditionalFormatting sqref="G90:G93 G95:G98">
    <cfRule type="expression" dxfId="731" priority="28">
      <formula>AND(T90&lt;&gt;"",F90="")</formula>
    </cfRule>
  </conditionalFormatting>
  <conditionalFormatting sqref="F109:J112 F114:J117">
    <cfRule type="expression" dxfId="730" priority="27">
      <formula>ROUND(F109,3)&lt;&gt;F109</formula>
    </cfRule>
  </conditionalFormatting>
  <conditionalFormatting sqref="K109:P112 K114:P117">
    <cfRule type="expression" dxfId="729" priority="26">
      <formula>ROUND(K109,1)&lt;&gt;K109</formula>
    </cfRule>
  </conditionalFormatting>
  <conditionalFormatting sqref="F109:P112 F114:P117">
    <cfRule type="expression" dxfId="728" priority="25">
      <formula>F109=0</formula>
    </cfRule>
  </conditionalFormatting>
  <conditionalFormatting sqref="F109:F112 F114:F117">
    <cfRule type="expression" dxfId="727" priority="24">
      <formula>AND(T109&lt;&gt;"",F109&lt;&gt;"")</formula>
    </cfRule>
  </conditionalFormatting>
  <conditionalFormatting sqref="G109:G112 G114:G117">
    <cfRule type="expression" dxfId="726" priority="23">
      <formula>AND(T109&lt;&gt;"",F109="")</formula>
    </cfRule>
  </conditionalFormatting>
  <conditionalFormatting sqref="F128:J131 F133:J136">
    <cfRule type="expression" dxfId="725" priority="22">
      <formula>ROUND(F128,3)&lt;&gt;F128</formula>
    </cfRule>
  </conditionalFormatting>
  <conditionalFormatting sqref="K128:P131 K133:P136">
    <cfRule type="expression" dxfId="724" priority="21">
      <formula>ROUND(K128,1)&lt;&gt;K128</formula>
    </cfRule>
  </conditionalFormatting>
  <conditionalFormatting sqref="F128:P131 F133:P136">
    <cfRule type="expression" dxfId="723" priority="20">
      <formula>F128=0</formula>
    </cfRule>
  </conditionalFormatting>
  <conditionalFormatting sqref="F128:F131 F133:F136">
    <cfRule type="expression" dxfId="722" priority="19">
      <formula>AND(T128&lt;&gt;"",F128&lt;&gt;"")</formula>
    </cfRule>
  </conditionalFormatting>
  <conditionalFormatting sqref="G128:G131 G133:G136">
    <cfRule type="expression" dxfId="721" priority="18">
      <formula>AND(T128&lt;&gt;"",F128="")</formula>
    </cfRule>
  </conditionalFormatting>
  <conditionalFormatting sqref="F147:J150 F152:J155">
    <cfRule type="expression" dxfId="720" priority="17">
      <formula>ROUND(F147,3)&lt;&gt;F147</formula>
    </cfRule>
  </conditionalFormatting>
  <conditionalFormatting sqref="K147:P150 K152:P155">
    <cfRule type="expression" dxfId="719" priority="16">
      <formula>ROUND(K147,1)&lt;&gt;K147</formula>
    </cfRule>
  </conditionalFormatting>
  <conditionalFormatting sqref="F147:P150 F152:P155">
    <cfRule type="expression" dxfId="718" priority="15">
      <formula>F147=0</formula>
    </cfRule>
  </conditionalFormatting>
  <conditionalFormatting sqref="F147:F150 F152:F155">
    <cfRule type="expression" dxfId="717" priority="14">
      <formula>AND(T147&lt;&gt;"",F147&lt;&gt;"")</formula>
    </cfRule>
  </conditionalFormatting>
  <conditionalFormatting sqref="G147:G150 G152:G155">
    <cfRule type="expression" dxfId="716" priority="13">
      <formula>AND(T147&lt;&gt;"",F147="")</formula>
    </cfRule>
  </conditionalFormatting>
  <conditionalFormatting sqref="F166:J169 F171:J174">
    <cfRule type="expression" dxfId="715" priority="12">
      <formula>ROUND(F166,3)&lt;&gt;F166</formula>
    </cfRule>
  </conditionalFormatting>
  <conditionalFormatting sqref="K166:P169 K171:P174">
    <cfRule type="expression" dxfId="714" priority="11">
      <formula>ROUND(K166,1)&lt;&gt;K166</formula>
    </cfRule>
  </conditionalFormatting>
  <conditionalFormatting sqref="F166:P169 F171:P174">
    <cfRule type="expression" dxfId="713" priority="10">
      <formula>F166=0</formula>
    </cfRule>
  </conditionalFormatting>
  <conditionalFormatting sqref="F166:F169 F171:F174">
    <cfRule type="expression" dxfId="712" priority="9">
      <formula>AND(T166&lt;&gt;"",F166&lt;&gt;"")</formula>
    </cfRule>
  </conditionalFormatting>
  <conditionalFormatting sqref="G166:G169 G171:G174">
    <cfRule type="expression" dxfId="711" priority="8">
      <formula>AND(T166&lt;&gt;"",F166="")</formula>
    </cfRule>
  </conditionalFormatting>
  <conditionalFormatting sqref="F185:J188 F190:J193">
    <cfRule type="expression" dxfId="710" priority="7">
      <formula>ROUND(F185,3)&lt;&gt;F185</formula>
    </cfRule>
  </conditionalFormatting>
  <conditionalFormatting sqref="K185:P188 K190:P193">
    <cfRule type="expression" dxfId="709" priority="6">
      <formula>ROUND(K185,1)&lt;&gt;K185</formula>
    </cfRule>
  </conditionalFormatting>
  <conditionalFormatting sqref="F185:P188 F190:P193">
    <cfRule type="expression" dxfId="708" priority="5">
      <formula>F185=0</formula>
    </cfRule>
  </conditionalFormatting>
  <conditionalFormatting sqref="F185:F188 F190:F193">
    <cfRule type="expression" dxfId="707" priority="4">
      <formula>AND(T185&lt;&gt;"",F185&lt;&gt;"")</formula>
    </cfRule>
  </conditionalFormatting>
  <conditionalFormatting sqref="G185:G188 G190:G193">
    <cfRule type="expression" dxfId="706" priority="3">
      <formula>AND(T185&lt;&gt;"",F185="")</formula>
    </cfRule>
  </conditionalFormatting>
  <conditionalFormatting sqref="B3:W3">
    <cfRule type="expression" dxfId="705" priority="1">
      <formula>B3=0</formula>
    </cfRule>
  </conditionalFormatting>
  <hyperlinks>
    <hyperlink ref="I7" r:id="rId1"/>
    <hyperlink ref="I26" r:id="rId2"/>
    <hyperlink ref="I64" r:id="rId3"/>
    <hyperlink ref="I45" r:id="rId4"/>
    <hyperlink ref="I83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3"/>
  <sheetViews>
    <sheetView zoomScaleNormal="100" workbookViewId="0">
      <selection activeCell="Q55" sqref="Q55"/>
    </sheetView>
  </sheetViews>
  <sheetFormatPr defaultRowHeight="14.4"/>
  <sheetData>
    <row r="1" spans="1:23">
      <c r="A1" s="57" t="s">
        <v>161</v>
      </c>
    </row>
    <row r="3" spans="1:23">
      <c r="A3" s="57" t="s">
        <v>300</v>
      </c>
      <c r="B3" s="92" t="str">
        <f ca="1">HYPERLINK("#A5",INDIRECT("A5"))</f>
        <v>猎鹰9号估计值</v>
      </c>
      <c r="C3" s="93"/>
      <c r="D3" s="92" t="str">
        <f ca="1">HYPERLINK("#A24",INDIRECT("A24"))</f>
        <v>猎鹰9号Block5</v>
      </c>
      <c r="E3" s="93"/>
      <c r="F3" s="92" t="str">
        <f ca="1">HYPERLINK("#A43",INDIRECT("A43"))</f>
        <v>重型猎鹰</v>
      </c>
      <c r="G3" s="92"/>
      <c r="H3" s="92" t="str">
        <f ca="1">HYPERLINK("#A62",INDIRECT("A62"))</f>
        <v>德尔塔4重型</v>
      </c>
      <c r="I3" s="93"/>
      <c r="J3" s="92" t="str">
        <f ca="1">HYPERLINK("#A81",INDIRECT("A81"))</f>
        <v>质子M</v>
      </c>
      <c r="K3" s="93"/>
      <c r="L3" s="92" t="str">
        <f ca="1">HYPERLINK("#A100",INDIRECT("A100"))</f>
        <v>质子M/微风M</v>
      </c>
      <c r="M3" s="93"/>
      <c r="N3" s="92" t="str">
        <f ca="1">HYPERLINK("#A119",INDIRECT("A119"))</f>
        <v>安加拉A5</v>
      </c>
      <c r="O3" s="93"/>
      <c r="P3" s="92" t="str">
        <f ca="1">HYPERLINK("#A138",INDIRECT("A138"))</f>
        <v>安加拉A5/微风M</v>
      </c>
      <c r="Q3" s="93"/>
      <c r="R3" s="92" t="str">
        <f ca="1">HYPERLINK("#A157",INDIRECT("A157"))</f>
        <v>阿丽亚娜5 ECA</v>
      </c>
      <c r="S3" s="93"/>
      <c r="T3" s="92" t="str">
        <f ca="1">HYPERLINK("#A176",INDIRECT("A176"))</f>
        <v>H2B</v>
      </c>
      <c r="U3" s="93"/>
      <c r="V3" s="92">
        <f ca="1">HYPERLINK("#A195",INDIRECT("A195"))</f>
        <v>0</v>
      </c>
      <c r="W3" s="93"/>
    </row>
    <row r="4" spans="1:23" ht="15" thickBot="1"/>
    <row r="5" spans="1:23" ht="15" thickBot="1">
      <c r="A5" s="52" t="s">
        <v>273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274</v>
      </c>
      <c r="B6" s="39"/>
      <c r="C6" s="2">
        <v>0</v>
      </c>
      <c r="D6" s="2">
        <v>282</v>
      </c>
      <c r="E6" s="2">
        <v>0</v>
      </c>
      <c r="F6" s="41"/>
      <c r="G6" s="42"/>
      <c r="H6" s="42"/>
      <c r="I6" s="24" t="s">
        <v>263</v>
      </c>
      <c r="J6" s="24"/>
      <c r="K6" s="24"/>
      <c r="L6" s="55">
        <f>IFERROR(IF(AND(F8&lt;&gt;0,C6&lt;&gt;0),M8/F8*E6+M9/F9*D6,M9/F9*D6),0)</f>
        <v>761.21864951768487</v>
      </c>
      <c r="M6" s="53" t="s">
        <v>45</v>
      </c>
      <c r="N6" s="17" t="str">
        <f>IF(AND(F8&lt;&gt;0,C6&lt;&gt;0),(M8+M9)/(M8/F8+M9/F9),"")</f>
        <v/>
      </c>
      <c r="O6" s="56" t="s">
        <v>46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68" t="s">
        <v>256</v>
      </c>
      <c r="L7" s="11" t="s">
        <v>6</v>
      </c>
      <c r="M7" s="12" t="s">
        <v>69</v>
      </c>
      <c r="N7" s="12" t="s">
        <v>15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16</v>
      </c>
      <c r="U7" s="1" t="s">
        <v>10</v>
      </c>
      <c r="V7" s="1" t="s">
        <v>11</v>
      </c>
    </row>
    <row r="8" spans="1:23">
      <c r="A8" s="40"/>
      <c r="B8" s="27" t="s">
        <v>3</v>
      </c>
      <c r="C8" s="3"/>
      <c r="D8" s="4"/>
      <c r="E8" s="4"/>
      <c r="F8" s="4"/>
      <c r="G8" s="19"/>
      <c r="H8" s="20"/>
      <c r="I8" s="65" t="s">
        <v>261</v>
      </c>
      <c r="J8" s="24"/>
      <c r="K8" s="24"/>
      <c r="L8" s="14">
        <f>C8*C6</f>
        <v>0</v>
      </c>
      <c r="M8" s="1">
        <f>E8*C6</f>
        <v>0</v>
      </c>
      <c r="N8" s="1">
        <f>IF(D8,L8/D8,0)</f>
        <v>0</v>
      </c>
      <c r="O8" s="15">
        <f>L8-N8</f>
        <v>0</v>
      </c>
      <c r="P8" s="14">
        <f>IF(AND(F8&lt;&gt;0,C6&lt;&gt;0),O8/M8*F8/IF(G8,G8,1),0)</f>
        <v>0</v>
      </c>
      <c r="Q8" s="1">
        <f>SUM(L8:L12)</f>
        <v>524.6</v>
      </c>
      <c r="R8" s="15">
        <f>N8+Q9</f>
        <v>524.6</v>
      </c>
      <c r="S8" s="14">
        <f>N8+H8*O8</f>
        <v>0</v>
      </c>
      <c r="T8" s="1">
        <f>IF(AND(F8&lt;&gt;0,C6&lt;&gt;0),(1-H8)*O8/M8*F8/IF(G8,G8,1),0)</f>
        <v>0</v>
      </c>
      <c r="U8" s="1">
        <f>SUM(L8:L12)</f>
        <v>524.6</v>
      </c>
      <c r="V8" s="1">
        <f>S8+U9</f>
        <v>524.6</v>
      </c>
    </row>
    <row r="9" spans="1:23">
      <c r="A9" s="47"/>
      <c r="B9" s="27">
        <v>1</v>
      </c>
      <c r="C9" s="5">
        <v>414.8</v>
      </c>
      <c r="D9" s="1">
        <v>19.45</v>
      </c>
      <c r="E9" s="1">
        <v>839.5</v>
      </c>
      <c r="F9" s="1">
        <v>311</v>
      </c>
      <c r="G9" s="5">
        <v>1</v>
      </c>
      <c r="H9" s="21">
        <v>0.112</v>
      </c>
      <c r="I9" s="30" t="s">
        <v>254</v>
      </c>
      <c r="J9" s="30"/>
      <c r="K9" s="30"/>
      <c r="L9" s="14">
        <f>C9</f>
        <v>414.8</v>
      </c>
      <c r="M9" s="1">
        <f>E9</f>
        <v>839.5</v>
      </c>
      <c r="N9" s="1">
        <f>IF(D9,L9/D9,0)</f>
        <v>21.326478149100257</v>
      </c>
      <c r="O9" s="15">
        <f>L9-N9</f>
        <v>393.47352185089977</v>
      </c>
      <c r="P9" s="14">
        <f t="shared" ref="P9:P12" si="0">IF(F9,O9/M9*F9/IF(G9,G9,1),0)</f>
        <v>145.76565252606292</v>
      </c>
      <c r="Q9" s="1">
        <f>IF(F9,SUM(L9:L12)-P8*M9/F9*IF(G9,G9,1),0)</f>
        <v>524.6</v>
      </c>
      <c r="R9" s="15">
        <f>N9+Q10</f>
        <v>131.12647814910025</v>
      </c>
      <c r="S9" s="14">
        <f>N9+H9*O9</f>
        <v>65.395512596401034</v>
      </c>
      <c r="T9" s="1">
        <f>IF(F9,(1-H9)*O9/M9*F9/IF(G9,G9,1),0)</f>
        <v>129.43989944314387</v>
      </c>
      <c r="U9" s="1">
        <f>IF(F9,SUM(L9:L12)-T8*M9/F9*IF(G9,G9,1),0)</f>
        <v>524.6</v>
      </c>
      <c r="V9" s="1">
        <f>S9+U10</f>
        <v>175.19551259640104</v>
      </c>
    </row>
    <row r="10" spans="1:23">
      <c r="A10" s="47"/>
      <c r="B10" s="27">
        <v>2</v>
      </c>
      <c r="C10" s="5">
        <v>109.8</v>
      </c>
      <c r="D10" s="1">
        <v>24.76</v>
      </c>
      <c r="E10" s="1">
        <v>95.2</v>
      </c>
      <c r="F10" s="1">
        <v>348</v>
      </c>
      <c r="G10" s="5"/>
      <c r="H10" s="21"/>
      <c r="I10" s="30" t="s">
        <v>255</v>
      </c>
      <c r="J10" s="30"/>
      <c r="K10" s="30"/>
      <c r="L10" s="14">
        <f>C10</f>
        <v>109.8</v>
      </c>
      <c r="M10" s="1">
        <f>E10</f>
        <v>95.2</v>
      </c>
      <c r="N10" s="1">
        <f>IF(D10,L10/D10,0)</f>
        <v>4.4345718901453957</v>
      </c>
      <c r="O10" s="15">
        <f>L10-N10</f>
        <v>105.36542810985461</v>
      </c>
      <c r="P10" s="14">
        <f t="shared" si="0"/>
        <v>385.15933804862817</v>
      </c>
      <c r="Q10" s="1">
        <f>SUM(L10:L12)</f>
        <v>109.8</v>
      </c>
      <c r="R10" s="15">
        <f>N10+Q11</f>
        <v>4.4345718901453957</v>
      </c>
      <c r="S10" s="14">
        <f>N10+H10*O10</f>
        <v>4.4345718901453957</v>
      </c>
      <c r="T10" s="1">
        <f t="shared" ref="T10:T12" si="1">IF(F10,(1-H10)*O10/M10*F10/IF(G10,G10,1),0)</f>
        <v>385.15933804862817</v>
      </c>
      <c r="U10" s="1">
        <f>SUM(L10:L12)</f>
        <v>109.8</v>
      </c>
      <c r="V10" s="1">
        <f>S10+U11</f>
        <v>4.4345718901453957</v>
      </c>
    </row>
    <row r="11" spans="1:23">
      <c r="A11" s="33" t="s">
        <v>45</v>
      </c>
      <c r="B11" s="27">
        <v>3</v>
      </c>
      <c r="C11" s="5"/>
      <c r="D11" s="1"/>
      <c r="E11" s="1"/>
      <c r="F11" s="1"/>
      <c r="G11" s="5"/>
      <c r="H11" s="21"/>
      <c r="I11" s="66" t="s">
        <v>272</v>
      </c>
      <c r="J11" s="30"/>
      <c r="K11" s="30"/>
      <c r="L11" s="14">
        <f>C11</f>
        <v>0</v>
      </c>
      <c r="M11" s="1">
        <f>E11</f>
        <v>0</v>
      </c>
      <c r="N11" s="1">
        <f>IF(D11,L11/D11,0)</f>
        <v>0</v>
      </c>
      <c r="O11" s="15">
        <f>L11-N11</f>
        <v>0</v>
      </c>
      <c r="P11" s="14">
        <f t="shared" si="0"/>
        <v>0</v>
      </c>
      <c r="Q11" s="1">
        <f>SUM(L11:L12)</f>
        <v>0</v>
      </c>
      <c r="R11" s="15">
        <f>N11+Q12</f>
        <v>0</v>
      </c>
      <c r="S11" s="14">
        <f>N11+H11*O11</f>
        <v>0</v>
      </c>
      <c r="T11" s="1">
        <f t="shared" si="1"/>
        <v>0</v>
      </c>
      <c r="U11" s="1">
        <f>SUM(L11:L12)</f>
        <v>0</v>
      </c>
      <c r="V11" s="1">
        <f>S11+U12</f>
        <v>0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24"/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265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85" t="s">
        <v>42</v>
      </c>
      <c r="R13" s="85"/>
      <c r="S13" s="85"/>
      <c r="T13" s="31" t="s">
        <v>50</v>
      </c>
      <c r="U13" s="35" t="s">
        <v>47</v>
      </c>
      <c r="V13" s="36" t="s">
        <v>264</v>
      </c>
    </row>
    <row r="14" spans="1:23">
      <c r="A14" s="47"/>
      <c r="B14" s="27" t="s">
        <v>30</v>
      </c>
      <c r="C14" s="8">
        <v>22.8</v>
      </c>
      <c r="D14" s="1">
        <f>IF(C14,C14+Q8,"")</f>
        <v>547.4</v>
      </c>
      <c r="E14" s="72">
        <f>IF(C14,C14/D14,"")</f>
        <v>4.1651443185970041E-2</v>
      </c>
      <c r="F14" s="14" t="str">
        <f>IF(AND(C14&lt;&gt;"",N6&lt;&gt;""),(M8/F8*E6+M9/F9*D6)/(C14+Q8),"")</f>
        <v/>
      </c>
      <c r="G14" s="1">
        <f>IF(C14,IF(AND(F8&lt;&gt;0,C6&lt;&gt;0),M9,M9/F9*D6)/(C14+Q9),"")</f>
        <v>1.3906076900213462</v>
      </c>
      <c r="H14" s="1">
        <f>IF(C14,(M10)/(C14+Q10),"")</f>
        <v>0.71794871794871795</v>
      </c>
      <c r="I14" s="1">
        <f>IF(C14,(M11)/(C14+Q11),"")</f>
        <v>0</v>
      </c>
      <c r="J14" s="1">
        <f>IF(C14,(M12)/(C14+Q12),"")</f>
        <v>0</v>
      </c>
      <c r="K14" s="14" t="str">
        <f>IF(AND(C14&lt;&gt;"",N6&lt;&gt;""),9.8*N6*LN((C14+Q8)/(C14+R8)),"")</f>
        <v/>
      </c>
      <c r="L14" s="1">
        <f>IF(C14,9.8*F9*LN((C14+Q9)/(C14+R9)),"")</f>
        <v>3866.7582541736865</v>
      </c>
      <c r="M14" s="1">
        <f>IF(C14,9.8*F10*LN((C14+Q10)/(C14+R10)),"")</f>
        <v>5398.1512517115325</v>
      </c>
      <c r="N14" s="1">
        <f>IF(C14,9.8*F11*LN((C14+Q11)/(C14+R11)),"")</f>
        <v>0</v>
      </c>
      <c r="O14" s="1">
        <f>IF(C14,9.8*F12*LN((C14+Q12)/(C14+R12)),"")</f>
        <v>0</v>
      </c>
      <c r="P14" s="15">
        <f>IF(C14,SUM(K14:O14),"")</f>
        <v>9264.9095058852181</v>
      </c>
      <c r="Q14" s="1"/>
      <c r="R14" s="1"/>
      <c r="S14" s="1"/>
      <c r="T14" s="32" t="str">
        <f>IF(OR(F14&lt;1,AND(F14="",G14&lt;1)),"起飞推重比不得小于0，空天飞机除外","")</f>
        <v/>
      </c>
      <c r="U14" s="1"/>
      <c r="V14" s="1"/>
    </row>
    <row r="15" spans="1:23">
      <c r="A15" s="33" t="s">
        <v>47</v>
      </c>
      <c r="B15" s="27" t="s">
        <v>31</v>
      </c>
      <c r="C15" s="9">
        <v>8.3000000000000007</v>
      </c>
      <c r="D15" s="1">
        <f>IF(C15,C15+Q8,"")</f>
        <v>532.9</v>
      </c>
      <c r="E15" s="72">
        <f t="shared" ref="E15:E17" si="2">IF(C15,C15/D15,"")</f>
        <v>1.5575154813285797E-2</v>
      </c>
      <c r="F15" s="14" t="str">
        <f>IF(AND(C15&lt;&gt;"",N6&lt;&gt;""),(M8/F8*E6+M9/F9*D6)/(C15+Q8),"")</f>
        <v/>
      </c>
      <c r="G15" s="1">
        <f>IF(C15,IF(AND(F8&lt;&gt;0,C6&lt;&gt;0),M9,M9/F9*D6)/(C15+Q9),"")</f>
        <v>1.4284455798793112</v>
      </c>
      <c r="H15" s="1">
        <f>IF(C15,(M10)/(C15+Q10),"")</f>
        <v>0.80609652836579182</v>
      </c>
      <c r="I15" s="1">
        <f>IF(C15,(M11)/(C15+Q11),"")</f>
        <v>0</v>
      </c>
      <c r="J15" s="1">
        <f>IF(C15,(M12)/(C15+Q12),"")</f>
        <v>0</v>
      </c>
      <c r="K15" s="14" t="str">
        <f>IF(AND(C15&lt;&gt;"",N6&lt;&gt;""),9.8*N6*LN((C15+Q8)/(C15+R8)),"")</f>
        <v/>
      </c>
      <c r="L15" s="1">
        <f>IF(C15,9.8*F9*LN((C15+Q9)/(C15+R9)),"")</f>
        <v>4086.4791622605567</v>
      </c>
      <c r="M15" s="1">
        <f>IF(C15,9.8*F10*LN((C15+Q10)/(C15+R10)),"")</f>
        <v>7595.6811860548551</v>
      </c>
      <c r="N15" s="1">
        <f>IF(C15,9.8*F11*LN((C15+Q11)/(C15+R11)),"")</f>
        <v>0</v>
      </c>
      <c r="O15" s="1">
        <f>IF(C15,9.8*F12*LN((C15+Q12)/(C15+R12)),"")</f>
        <v>0</v>
      </c>
      <c r="P15" s="15">
        <f>IF(C15,SUM(K15:O15),"")</f>
        <v>11682.160348315412</v>
      </c>
      <c r="Q15" s="1"/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36</v>
      </c>
      <c r="C16" s="9"/>
      <c r="D16" s="1" t="str">
        <f>IF(C16,C16+Q8,"")</f>
        <v/>
      </c>
      <c r="E16" s="72" t="str">
        <f t="shared" si="2"/>
        <v/>
      </c>
      <c r="F16" s="14" t="str">
        <f>IF(AND(C16&lt;&gt;"",N6&lt;&gt;""),(M8/F8*E6+M9/F9*D6)/(C16+Q8),"")</f>
        <v/>
      </c>
      <c r="G16" s="1" t="str">
        <f>IF(C16,IF(AND(F8&lt;&gt;0,C6&lt;&gt;0),M9,M9/F9*D6)/(C16+Q9),"")</f>
        <v/>
      </c>
      <c r="H16" s="1" t="str">
        <f>IF(C16,(M10)/(C16+Q10),"")</f>
        <v/>
      </c>
      <c r="I16" s="1" t="str">
        <f>IF(C16,(M11)/(C16+Q11),"")</f>
        <v/>
      </c>
      <c r="J16" s="1" t="str">
        <f>IF(C16,(M12)/(C16+Q12),"")</f>
        <v/>
      </c>
      <c r="K16" s="14" t="str">
        <f>IF(AND(C16&lt;&gt;"",N6&lt;&gt;""),9.8*N6*LN((C16+Q8)/(C16+R8)),"")</f>
        <v/>
      </c>
      <c r="L16" s="1" t="str">
        <f>IF(C16,9.8*F9*LN((C16+Q9)/(C16+R9)),"")</f>
        <v/>
      </c>
      <c r="M16" s="1" t="str">
        <f>IF(C16,9.8*F10*LN((C16+Q10)/(C16+R10)),"")</f>
        <v/>
      </c>
      <c r="N16" s="1" t="str">
        <f>IF(C16,9.8*F11*LN((C16+Q11)/(C16+R11)),"")</f>
        <v/>
      </c>
      <c r="O16" s="1" t="str">
        <f>IF(C16,9.8*F12*LN((C16+Q12)/(C16+R12)),"")</f>
        <v/>
      </c>
      <c r="P16" s="15" t="str">
        <f>IF(C16,SUM(K16:O16),"")</f>
        <v/>
      </c>
      <c r="Q16" s="1"/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/>
      <c r="D17" s="1" t="str">
        <f>IF(C17,C17+Q8,"")</f>
        <v/>
      </c>
      <c r="E17" s="72" t="str">
        <f t="shared" si="2"/>
        <v/>
      </c>
      <c r="F17" s="14" t="str">
        <f>IF(AND(C17&lt;&gt;"",N6&lt;&gt;""),(M8/F8*E6+M9/F9*D6)/(C17+Q8),"")</f>
        <v/>
      </c>
      <c r="G17" s="1" t="str">
        <f>IF(C17,IF(AND(F8&lt;&gt;0,C6&lt;&gt;0),M9,M9/F9*D6)/(C17+Q9),"")</f>
        <v/>
      </c>
      <c r="H17" s="1" t="str">
        <f>IF(C17,(M10)/(C17+Q10),"")</f>
        <v/>
      </c>
      <c r="I17" s="1" t="str">
        <f>IF(C17,(M11)/(C17+Q11),"")</f>
        <v/>
      </c>
      <c r="J17" s="1" t="str">
        <f>IF(C17,(M12)/(C17+Q12),"")</f>
        <v/>
      </c>
      <c r="K17" s="14" t="str">
        <f>IF(AND(C17&lt;&gt;"",N6&lt;&gt;""),9.8*N6*LN((C17+Q8)/(C17+R8)),"")</f>
        <v/>
      </c>
      <c r="L17" s="1" t="str">
        <f>IF(C17,9.8*F9*LN((C17+Q9)/(C17+R9)),"")</f>
        <v/>
      </c>
      <c r="M17" s="1" t="str">
        <f>IF(C17,9.8*F10*LN((C17+Q10)/(C17+R10)),"")</f>
        <v/>
      </c>
      <c r="N17" s="1" t="str">
        <f>IF(C17,9.8*F11*LN((C17+Q11)/(C17+R11)),"")</f>
        <v/>
      </c>
      <c r="O17" s="1" t="str">
        <f>IF(C17,9.8*F12*LN((C17+Q12)/(C17+R12)),"")</f>
        <v/>
      </c>
      <c r="P17" s="15" t="str">
        <f>IF(C17,SUM(K17:O17),"")</f>
        <v/>
      </c>
      <c r="Q17" s="17"/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54</v>
      </c>
      <c r="D18" s="12" t="s">
        <v>28</v>
      </c>
      <c r="E18" s="12" t="s">
        <v>266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85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>
        <v>16.7</v>
      </c>
      <c r="D19" s="1">
        <f>IF(C19,C19+Q8,"")</f>
        <v>541.30000000000007</v>
      </c>
      <c r="E19" s="72">
        <f>IF(C19,C19/D19,"")</f>
        <v>3.085165342693515E-2</v>
      </c>
      <c r="F19" s="14" t="str">
        <f>IF(AND(C19&lt;&gt;"",N6&lt;&gt;""),(M8/F8*E6+M9/F9*D6)/(C19+U8),"")</f>
        <v/>
      </c>
      <c r="G19" s="1">
        <f>IF(C19,IF(AND(F8&lt;&gt;0,C6&lt;&gt;0),M9,M9/F9*D6)/(C19+U9),"")</f>
        <v>1.4062786800622293</v>
      </c>
      <c r="H19" s="1">
        <f>IF(C19,(M10)/(C19+U10),"")</f>
        <v>0.75256916996047429</v>
      </c>
      <c r="I19" s="1">
        <f>IF(C19,(M11)/(C19+U11),"")</f>
        <v>0</v>
      </c>
      <c r="J19" s="1">
        <f>IF(C19,(M12)/(C19+U12),"")</f>
        <v>0</v>
      </c>
      <c r="K19" s="14" t="str">
        <f>IF(AND(C19&lt;&gt;"",N6&lt;&gt;""),9.8*N6*LN((C19+U8)/(C19+V8)),"")</f>
        <v/>
      </c>
      <c r="L19" s="1">
        <f>IF(C19,9.8*F9*LN((C19+U9)/(C19+V9)),"")</f>
        <v>3160.637587366401</v>
      </c>
      <c r="M19" s="1">
        <f>IF(C19,9.8*F10*LN((C19+U10)/(C19+V10)),"")</f>
        <v>6102.3382972453774</v>
      </c>
      <c r="N19" s="1">
        <f>IF(C19,9.8*F11*LN((C19+U11)/(C19+V11)),"")</f>
        <v>0</v>
      </c>
      <c r="O19" s="1">
        <f>IF(C19,9.8*F12*LN((C19+U12)/(C19+V12)),"")</f>
        <v>0</v>
      </c>
      <c r="P19" s="15">
        <f>IF(C19,SUM(K19:O19),"")</f>
        <v>9262.9758846117784</v>
      </c>
      <c r="Q19" s="1"/>
      <c r="R19" s="1"/>
      <c r="S19" s="1"/>
      <c r="T19" s="32" t="str">
        <f>IF(OR(F19&lt;1,AND(F19="",G19&lt;1)),"起飞推重比不得小于0，空天飞机除外","")</f>
        <v/>
      </c>
      <c r="U19" s="1"/>
      <c r="V19" s="1"/>
    </row>
    <row r="20" spans="1:22">
      <c r="A20" s="47"/>
      <c r="B20" s="27" t="s">
        <v>31</v>
      </c>
      <c r="C20" s="9">
        <v>5.5</v>
      </c>
      <c r="D20" s="1">
        <f>IF(C20,C20+Q8,"")</f>
        <v>530.1</v>
      </c>
      <c r="E20" s="72">
        <f t="shared" ref="E20:E22" si="4">IF(C20,C20/D20,"")</f>
        <v>1.0375400867760799E-2</v>
      </c>
      <c r="F20" s="14" t="str">
        <f>IF(AND(C20&lt;&gt;"",N6&lt;&gt;""),(M8/F8*E6+M9/F9*D6)/(C20+U8),"")</f>
        <v/>
      </c>
      <c r="G20" s="1">
        <f>IF(C20,IF(AND(F8&lt;&gt;0,C6&lt;&gt;0),M9,M9/F9*D6)/(C20+U9),"")</f>
        <v>1.435990661229362</v>
      </c>
      <c r="H20" s="1">
        <f>IF(C20,(M10)/(C20+U10),"")</f>
        <v>0.82567215958369478</v>
      </c>
      <c r="I20" s="1">
        <f>IF(C20,(M11)/(C20+U11),"")</f>
        <v>0</v>
      </c>
      <c r="J20" s="1">
        <f>IF(C20,(M12)/(C20+U12),"")</f>
        <v>0</v>
      </c>
      <c r="K20" s="14" t="str">
        <f>IF(AND(C20&lt;&gt;"",N6&lt;&gt;""),9.8*N6*LN((C20+U8)/(C20+V8)),"")</f>
        <v/>
      </c>
      <c r="L20" s="1">
        <f>IF(C20,9.8*F9*LN((C20+U9)/(C20+V9)),"")</f>
        <v>3280.2017725865926</v>
      </c>
      <c r="M20" s="1">
        <f>IF(C20,9.8*F10*LN((C20+U10)/(C20+V10)),"")</f>
        <v>8360.6523602323723</v>
      </c>
      <c r="N20" s="1">
        <f>IF(C20,9.8*F11*LN((C20+U11)/(C20+V11)),"")</f>
        <v>0</v>
      </c>
      <c r="O20" s="1">
        <f>IF(C20,9.8*F12*LN((C20+U12)/(C20+V12)),"")</f>
        <v>0</v>
      </c>
      <c r="P20" s="15">
        <f>IF(C20,SUM(K20:O20),"")</f>
        <v>11640.854132818964</v>
      </c>
      <c r="Q20" s="1"/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/>
      <c r="D21" s="1" t="str">
        <f>IF(C21,C21+Q8,"")</f>
        <v/>
      </c>
      <c r="E21" s="72" t="str">
        <f t="shared" si="4"/>
        <v/>
      </c>
      <c r="F21" s="14" t="str">
        <f>IF(AND(C21&lt;&gt;"",N6&lt;&gt;""),(M8/F8*E6+M9/F9*D6)/(C21+U8),"")</f>
        <v/>
      </c>
      <c r="G21" s="1" t="str">
        <f>IF(C21,IF(AND(F8&lt;&gt;0,C6&lt;&gt;0),M9,M9/F9*D6)/(C21+U9),"")</f>
        <v/>
      </c>
      <c r="H21" s="1" t="str">
        <f>IF(C21,(M10)/(C21+U10),"")</f>
        <v/>
      </c>
      <c r="I21" s="1" t="str">
        <f>IF(C21,(M11)/(C21+U11),"")</f>
        <v/>
      </c>
      <c r="J21" s="1" t="str">
        <f>IF(C21,(M12)/(C21+U12),"")</f>
        <v/>
      </c>
      <c r="K21" s="14" t="str">
        <f>IF(AND(C21&lt;&gt;"",N6&lt;&gt;""),9.8*N6*LN((C21+U8)/(C21+V8)),"")</f>
        <v/>
      </c>
      <c r="L21" s="1" t="str">
        <f>IF(C21,9.8*F9*LN((C21+U9)/(C21+V9)),"")</f>
        <v/>
      </c>
      <c r="M21" s="1" t="str">
        <f>IF(C21,9.8*F10*LN((C21+U10)/(C21+V10)),"")</f>
        <v/>
      </c>
      <c r="N21" s="1" t="str">
        <f>IF(C21,9.8*F11*LN((C21+U11)/(C21+V11)),"")</f>
        <v/>
      </c>
      <c r="O21" s="1" t="str">
        <f>IF(C21,9.8*F12*LN((C21+U12)/(C21+V12)),"")</f>
        <v/>
      </c>
      <c r="P21" s="15" t="str">
        <f>IF(C21,SUM(K21:O21),"")</f>
        <v/>
      </c>
      <c r="Q21" s="1"/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46</v>
      </c>
      <c r="B22" s="49" t="s">
        <v>33</v>
      </c>
      <c r="C22" s="50"/>
      <c r="D22" s="25" t="str">
        <f>IF(C22,C22+Q8,"")</f>
        <v/>
      </c>
      <c r="E22" s="73" t="str">
        <f t="shared" si="4"/>
        <v/>
      </c>
      <c r="F22" s="70" t="str">
        <f>IF(AND(C22&lt;&gt;"",N6&lt;&gt;""),(M8/F8*E6+M9/F9*D6)/(C22+U8),"")</f>
        <v/>
      </c>
      <c r="G22" s="25" t="str">
        <f>IF(C22,IF(AND(F8&lt;&gt;0,C6&lt;&gt;0),M9,M9/F9*D6)/(C22+U9),"")</f>
        <v/>
      </c>
      <c r="H22" s="25" t="str">
        <f>IF(C22,(M10)/(C22+U10),"")</f>
        <v/>
      </c>
      <c r="I22" s="25" t="str">
        <f>IF(C22,(M11)/(C22+U11),"")</f>
        <v/>
      </c>
      <c r="J22" s="25" t="str">
        <f>IF(C22,(M12)/(C22+U12),"")</f>
        <v/>
      </c>
      <c r="K22" s="70" t="str">
        <f>IF(AND(C22&lt;&gt;"",N6&lt;&gt;""),9.8*N6*LN((C22+U8)/(C22+V8)),"")</f>
        <v/>
      </c>
      <c r="L22" s="25" t="str">
        <f>IF(C22,9.8*F9*LN((C22+U9)/(C22+V9)),"")</f>
        <v/>
      </c>
      <c r="M22" s="25" t="str">
        <f>IF(C22,9.8*F10*LN((C22+U10)/(C22+V10)),"")</f>
        <v/>
      </c>
      <c r="N22" s="25" t="str">
        <f>IF(C22,9.8*F11*LN((C22+U11)/(C22+V11)),"")</f>
        <v/>
      </c>
      <c r="O22" s="25" t="str">
        <f>IF(C22,9.8*F12*LN((C22+U12)/(C22+V12)),"")</f>
        <v/>
      </c>
      <c r="P22" s="71" t="str">
        <f>IF(C22,SUM(K22:O22),"")</f>
        <v/>
      </c>
      <c r="Q22" s="25"/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260</v>
      </c>
      <c r="B24" s="52"/>
      <c r="C24" s="29" t="s">
        <v>0</v>
      </c>
      <c r="D24" s="90" t="s">
        <v>41</v>
      </c>
      <c r="E24" s="90"/>
      <c r="F24" s="43"/>
      <c r="G24" s="43"/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258</v>
      </c>
      <c r="B25" s="39"/>
      <c r="C25" s="2">
        <v>0</v>
      </c>
      <c r="D25" s="2">
        <v>282</v>
      </c>
      <c r="E25" s="2">
        <v>0</v>
      </c>
      <c r="F25" s="41"/>
      <c r="G25" s="42"/>
      <c r="H25" s="42"/>
      <c r="I25" s="24" t="s">
        <v>259</v>
      </c>
      <c r="J25" s="24"/>
      <c r="K25" s="24"/>
      <c r="L25" s="55">
        <f>IFERROR(IF(AND(F27&lt;&gt;0,C25&lt;&gt;0),M27/F27*E25+M28/F28*D25,M28/F28*D25),0)</f>
        <v>761.21864951768487</v>
      </c>
      <c r="M25" s="53" t="s">
        <v>45</v>
      </c>
      <c r="N25" s="17" t="str">
        <f>IF(AND(F27&lt;&gt;0,C25&lt;&gt;0),(M27+M28)/(M27/F27+M28/F28),"")</f>
        <v/>
      </c>
      <c r="O25" s="56" t="s">
        <v>46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59" t="s">
        <v>257</v>
      </c>
      <c r="J26" s="24"/>
      <c r="K26" s="24"/>
      <c r="L26" s="11" t="s">
        <v>6</v>
      </c>
      <c r="M26" s="12" t="s">
        <v>69</v>
      </c>
      <c r="N26" s="12" t="s">
        <v>15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16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/>
      <c r="D27" s="4"/>
      <c r="E27" s="4"/>
      <c r="F27" s="4"/>
      <c r="G27" s="19"/>
      <c r="H27" s="20"/>
      <c r="I27" s="65" t="s">
        <v>262</v>
      </c>
      <c r="J27" s="24"/>
      <c r="K27" s="24"/>
      <c r="L27" s="14">
        <f>C27*C25</f>
        <v>0</v>
      </c>
      <c r="M27" s="1">
        <f>E27*C25</f>
        <v>0</v>
      </c>
      <c r="N27" s="1">
        <f>IF(D27,L27/D27,0)</f>
        <v>0</v>
      </c>
      <c r="O27" s="15">
        <f>L27-N27</f>
        <v>0</v>
      </c>
      <c r="P27" s="14">
        <f>IF(AND(F27&lt;&gt;0,C25&lt;&gt;0),O27/M27*F27/IF(G27,G27,1),0)</f>
        <v>0</v>
      </c>
      <c r="Q27" s="1">
        <f>SUM(L27:L31)</f>
        <v>517.87</v>
      </c>
      <c r="R27" s="15">
        <f>N27+Q28</f>
        <v>517.87</v>
      </c>
      <c r="S27" s="14">
        <f>N27+H27*O27</f>
        <v>0</v>
      </c>
      <c r="T27" s="1">
        <f>IF(AND(F27&lt;&gt;0,C25&lt;&gt;0),(1-H27)*O27/M27*F27/IF(G27,G27,1),0)</f>
        <v>0</v>
      </c>
      <c r="U27" s="1">
        <f>SUM(L27:L31)</f>
        <v>517.87</v>
      </c>
      <c r="V27" s="1">
        <f>S27+U28</f>
        <v>517.87</v>
      </c>
    </row>
    <row r="28" spans="1:22">
      <c r="A28" s="47"/>
      <c r="B28" s="27">
        <v>1</v>
      </c>
      <c r="C28" s="5">
        <v>421.3</v>
      </c>
      <c r="D28" s="1">
        <v>16.46</v>
      </c>
      <c r="E28" s="1">
        <v>839.5</v>
      </c>
      <c r="F28" s="1">
        <v>311</v>
      </c>
      <c r="G28" s="5">
        <v>1</v>
      </c>
      <c r="H28" s="21">
        <v>9.0999999999999998E-2</v>
      </c>
      <c r="I28" s="30" t="s">
        <v>254</v>
      </c>
      <c r="J28" s="30"/>
      <c r="K28" s="30"/>
      <c r="L28" s="14">
        <f>C28</f>
        <v>421.3</v>
      </c>
      <c r="M28" s="1">
        <f>E28</f>
        <v>839.5</v>
      </c>
      <c r="N28" s="1">
        <f>IF(D28,L28/D28,0)</f>
        <v>25.595382746051033</v>
      </c>
      <c r="O28" s="15">
        <f>L28-N28</f>
        <v>395.70461725394898</v>
      </c>
      <c r="P28" s="14">
        <f t="shared" ref="P28:P31" si="6">IF(F28,O28/M28*F28/IF(G28,G28,1),0)</f>
        <v>146.59218101962853</v>
      </c>
      <c r="Q28" s="1">
        <f>IF(F28,SUM(L28:L31)-P27*M28/F28*IF(G28,G28,1),0)</f>
        <v>517.87</v>
      </c>
      <c r="R28" s="15">
        <f>N28+Q29</f>
        <v>122.16538274605102</v>
      </c>
      <c r="S28" s="14">
        <f>N28+H28*O28</f>
        <v>61.604502916160385</v>
      </c>
      <c r="T28" s="1">
        <f>IF(F28,(1-H28)*O28/M28*F28/IF(G28,G28,1),0)</f>
        <v>133.25229254684234</v>
      </c>
      <c r="U28" s="1">
        <f>IF(F28,SUM(L28:L31)-T27*M28/F28*IF(G28,G28,1),0)</f>
        <v>517.87</v>
      </c>
      <c r="V28" s="1">
        <f>S28+U29</f>
        <v>158.17450291616038</v>
      </c>
    </row>
    <row r="29" spans="1:22">
      <c r="A29" s="47"/>
      <c r="B29" s="27">
        <v>2</v>
      </c>
      <c r="C29" s="5">
        <v>96.57</v>
      </c>
      <c r="D29" s="1">
        <v>24.76</v>
      </c>
      <c r="E29" s="1">
        <v>95.3</v>
      </c>
      <c r="F29" s="1">
        <v>348</v>
      </c>
      <c r="G29" s="5"/>
      <c r="H29" s="21"/>
      <c r="I29" s="30" t="s">
        <v>255</v>
      </c>
      <c r="J29" s="30"/>
      <c r="K29" s="30"/>
      <c r="L29" s="14">
        <f>C29</f>
        <v>96.57</v>
      </c>
      <c r="M29" s="1">
        <f>E29</f>
        <v>95.3</v>
      </c>
      <c r="N29" s="1">
        <f>IF(D29,L29/D29,0)</f>
        <v>3.9002423263327941</v>
      </c>
      <c r="O29" s="15">
        <f>L29-N29</f>
        <v>92.669757673667192</v>
      </c>
      <c r="P29" s="14">
        <f t="shared" si="6"/>
        <v>338.39533757015931</v>
      </c>
      <c r="Q29" s="1">
        <f>SUM(L29:L31)</f>
        <v>96.57</v>
      </c>
      <c r="R29" s="15">
        <f>N29+Q30</f>
        <v>3.9002423263327941</v>
      </c>
      <c r="S29" s="14">
        <f>N29+H29*O29</f>
        <v>3.9002423263327941</v>
      </c>
      <c r="T29" s="1">
        <f t="shared" ref="T29:T31" si="7">IF(F29,(1-H29)*O29/M29*F29/IF(G29,G29,1),0)</f>
        <v>338.39533757015931</v>
      </c>
      <c r="U29" s="1">
        <f>SUM(L29:L31)</f>
        <v>96.57</v>
      </c>
      <c r="V29" s="1">
        <f>S29+U30</f>
        <v>3.9002423263327941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/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24"/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265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264</v>
      </c>
    </row>
    <row r="33" spans="1:22">
      <c r="A33" s="47"/>
      <c r="B33" s="27" t="s">
        <v>30</v>
      </c>
      <c r="C33" s="8">
        <v>22.8</v>
      </c>
      <c r="D33" s="1">
        <f>IF(C33,C33+Q27,"")</f>
        <v>540.66999999999996</v>
      </c>
      <c r="E33" s="72">
        <f>IF(C33,C33/D33,"")</f>
        <v>4.2169900308876032E-2</v>
      </c>
      <c r="F33" s="14" t="str">
        <f>IF(AND(C33&lt;&gt;"",N25&lt;&gt;""),(M27/F27*E25+M28/F28*D25)/(C33+Q27),"")</f>
        <v/>
      </c>
      <c r="G33" s="1">
        <f>IF(C33,IF(AND(F27&lt;&gt;0,C25&lt;&gt;0),M28,M28/F28*D25)/(C33+Q28),"")</f>
        <v>1.4079173054130707</v>
      </c>
      <c r="H33" s="1">
        <f>IF(C33,(M29)/(C33+Q29),"")</f>
        <v>0.79835804641032093</v>
      </c>
      <c r="I33" s="1">
        <f>IF(C33,(M30)/(C33+Q30),"")</f>
        <v>0</v>
      </c>
      <c r="J33" s="1">
        <f>IF(C33,(M31)/(C33+Q31),"")</f>
        <v>0</v>
      </c>
      <c r="K33" s="14" t="str">
        <f>IF(AND(C33&lt;&gt;"",N25&lt;&gt;""),9.8*N25*LN((C33+Q27)/(C33+R27)),"")</f>
        <v/>
      </c>
      <c r="L33" s="1">
        <f>IF(C33,9.8*F28*LN((C33+Q28)/(C33+R28)),"")</f>
        <v>4011.8622266908255</v>
      </c>
      <c r="M33" s="1">
        <f>IF(C33,9.8*F29*LN((C33+Q29)/(C33+R29)),"")</f>
        <v>5107.2624991149023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9119.1247258057283</v>
      </c>
      <c r="Q33" s="1"/>
      <c r="R33" s="1"/>
      <c r="S33" s="1"/>
      <c r="T33" s="32" t="str">
        <f>IF(OR(F33&lt;1,AND(F33="",G33&lt;1)),"起飞推重比不得小于0，空天飞机除外","")</f>
        <v/>
      </c>
      <c r="U33" s="1"/>
      <c r="V33" s="1"/>
    </row>
    <row r="34" spans="1:22">
      <c r="A34" s="33" t="s">
        <v>47</v>
      </c>
      <c r="B34" s="27" t="s">
        <v>31</v>
      </c>
      <c r="C34" s="9">
        <v>8.3000000000000007</v>
      </c>
      <c r="D34" s="1">
        <f>IF(C34,C34+Q27,"")</f>
        <v>526.16999999999996</v>
      </c>
      <c r="E34" s="72">
        <f t="shared" ref="E34:E36" si="8">IF(C34,C34/D34,"")</f>
        <v>1.57743695003516E-2</v>
      </c>
      <c r="F34" s="14" t="str">
        <f>IF(AND(C34&lt;&gt;"",N25&lt;&gt;""),(M27/F27*E25+M28/F28*D25)/(C34+Q27),"")</f>
        <v/>
      </c>
      <c r="G34" s="1">
        <f>IF(C34,IF(AND(F27&lt;&gt;0,C25&lt;&gt;0),M28,M28/F28*D25)/(C34+Q28),"")</f>
        <v>1.4467161744639279</v>
      </c>
      <c r="H34" s="1">
        <f>IF(C34,(M29)/(C34+Q29),"")</f>
        <v>0.90874415943549158</v>
      </c>
      <c r="I34" s="1">
        <f>IF(C34,(M30)/(C34+Q30),"")</f>
        <v>0</v>
      </c>
      <c r="J34" s="1">
        <f>IF(C34,(M31)/(C34+Q31),"")</f>
        <v>0</v>
      </c>
      <c r="K34" s="14" t="str">
        <f>IF(AND(C34&lt;&gt;"",N25&lt;&gt;""),9.8*N25*LN((C34+Q27)/(C34+R27)),"")</f>
        <v/>
      </c>
      <c r="L34" s="1">
        <f>IF(C34,9.8*F28*LN((C34+Q28)/(C34+R28)),"")</f>
        <v>4250.2071728503079</v>
      </c>
      <c r="M34" s="1">
        <f>IF(C34,9.8*F29*LN((C34+Q29)/(C34+R29)),"")</f>
        <v>7336.6764528709864</v>
      </c>
      <c r="N34" s="1">
        <f>IF(C34,9.8*F30*LN((C34+Q30)/(C34+R30)),"")</f>
        <v>0</v>
      </c>
      <c r="O34" s="1">
        <f>IF(C34,9.8*F31*LN((C34+Q31)/(C34+R31)),"")</f>
        <v>0</v>
      </c>
      <c r="P34" s="15">
        <f>IF(C34,SUM(K34:O34),"")</f>
        <v>11586.883625721293</v>
      </c>
      <c r="Q34" s="1"/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36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/>
      <c r="D36" s="1" t="str">
        <f>IF(C36,C36+Q27,"")</f>
        <v/>
      </c>
      <c r="E36" s="72" t="str">
        <f t="shared" si="8"/>
        <v/>
      </c>
      <c r="F36" s="14" t="str">
        <f>IF(AND(C36&lt;&gt;"",N25&lt;&gt;""),(M27/F27*E25+M28/F28*D25)/(C36+Q27),"")</f>
        <v/>
      </c>
      <c r="G36" s="1" t="str">
        <f>IF(C36,IF(AND(F27&lt;&gt;0,C25&lt;&gt;0),M28,M28/F28*D25)/(C36+Q28),"")</f>
        <v/>
      </c>
      <c r="H36" s="1" t="str">
        <f>IF(C36,(M29)/(C36+Q29),"")</f>
        <v/>
      </c>
      <c r="I36" s="1" t="str">
        <f>IF(C36,(M30)/(C36+Q30),"")</f>
        <v/>
      </c>
      <c r="J36" s="1" t="str">
        <f>IF(C36,(M31)/(C36+Q31),"")</f>
        <v/>
      </c>
      <c r="K36" s="14" t="str">
        <f>IF(AND(C36&lt;&gt;"",N25&lt;&gt;""),9.8*N25*LN((C36+Q27)/(C36+R27)),"")</f>
        <v/>
      </c>
      <c r="L36" s="1" t="str">
        <f>IF(C36,9.8*F28*LN((C36+Q28)/(C36+R28)),"")</f>
        <v/>
      </c>
      <c r="M36" s="1" t="str">
        <f>IF(C36,9.8*F29*LN((C36+Q29)/(C36+R29)),"")</f>
        <v/>
      </c>
      <c r="N36" s="1" t="str">
        <f>IF(C36,9.8*F30*LN((C36+Q30)/(C36+R30)),"")</f>
        <v/>
      </c>
      <c r="O36" s="1" t="str">
        <f>IF(C36,9.8*F31*LN((C36+Q31)/(C36+R31)),"")</f>
        <v/>
      </c>
      <c r="P36" s="15" t="str">
        <f>IF(C36,SUM(K36:O36),"")</f>
        <v/>
      </c>
      <c r="Q36" s="17"/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54</v>
      </c>
      <c r="D37" s="12" t="s">
        <v>28</v>
      </c>
      <c r="E37" s="12" t="s">
        <v>266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>
        <v>17.399999999999999</v>
      </c>
      <c r="D38" s="1">
        <f>IF(C38,C38+Q27,"")</f>
        <v>535.27</v>
      </c>
      <c r="E38" s="72">
        <f>IF(C38,C38/D38,"")</f>
        <v>3.250695910475087E-2</v>
      </c>
      <c r="F38" s="14" t="str">
        <f>IF(AND(C38&lt;&gt;"",N25&lt;&gt;""),(M27/F27*E25+M28/F28*D25)/(C38+U27),"")</f>
        <v/>
      </c>
      <c r="G38" s="1">
        <f>IF(C38,IF(AND(F27&lt;&gt;0,C25&lt;&gt;0),M28,M28/F28*D25)/(C38+U28),"")</f>
        <v>1.4221208913589121</v>
      </c>
      <c r="H38" s="1">
        <f>IF(C38,(M29)/(C38+U29),"")</f>
        <v>0.83618496095463712</v>
      </c>
      <c r="I38" s="1">
        <f>IF(C38,(M30)/(C38+U30),"")</f>
        <v>0</v>
      </c>
      <c r="J38" s="1">
        <f>IF(C38,(M31)/(C38+U31),"")</f>
        <v>0</v>
      </c>
      <c r="K38" s="14" t="str">
        <f>IF(AND(C38&lt;&gt;"",N25&lt;&gt;""),9.8*N25*LN((C38+U27)/(C38+V27)),"")</f>
        <v/>
      </c>
      <c r="L38" s="1">
        <f>IF(C38,9.8*F28*LN((C38+U28)/(C38+V28)),"")</f>
        <v>3397.4064987463448</v>
      </c>
      <c r="M38" s="1">
        <f>IF(C38,9.8*F29*LN((C38+U29)/(C38+V29)),"")</f>
        <v>5719.9801965255665</v>
      </c>
      <c r="N38" s="1">
        <f>IF(C38,9.8*F30*LN((C38+U30)/(C38+V30)),"")</f>
        <v>0</v>
      </c>
      <c r="O38" s="1">
        <f>IF(C38,9.8*F31*LN((C38+U31)/(C38+V31)),"")</f>
        <v>0</v>
      </c>
      <c r="P38" s="15">
        <f>IF(C38,SUM(K38:O38),"")</f>
        <v>9117.3866952719109</v>
      </c>
      <c r="Q38" s="1"/>
      <c r="R38" s="1"/>
      <c r="S38" s="1"/>
      <c r="T38" s="32" t="str">
        <f>IF(OR(F38&lt;1,AND(F38="",G38&lt;1)),"起飞推重比不得小于0，空天飞机除外","")</f>
        <v/>
      </c>
      <c r="U38" s="1"/>
      <c r="V38" s="1"/>
    </row>
    <row r="39" spans="1:22">
      <c r="A39" s="47"/>
      <c r="B39" s="27" t="s">
        <v>31</v>
      </c>
      <c r="C39" s="9">
        <v>5.8</v>
      </c>
      <c r="D39" s="1">
        <f>IF(C39,C39+Q27,"")</f>
        <v>523.66999999999996</v>
      </c>
      <c r="E39" s="72">
        <f t="shared" ref="E39:E41" si="10">IF(C39,C39/D39,"")</f>
        <v>1.1075677430442837E-2</v>
      </c>
      <c r="F39" s="14" t="str">
        <f>IF(AND(C39&lt;&gt;"",N25&lt;&gt;""),(M27/F27*E25+M28/F28*D25)/(C39+U27),"")</f>
        <v/>
      </c>
      <c r="G39" s="1">
        <f>IF(C39,IF(AND(F27&lt;&gt;0,C25&lt;&gt;0),M28,M28/F28*D25)/(C39+U28),"")</f>
        <v>1.4536227958784824</v>
      </c>
      <c r="H39" s="1">
        <f>IF(C39,(M29)/(C39+U29),"")</f>
        <v>0.93093679789000694</v>
      </c>
      <c r="I39" s="1">
        <f>IF(C39,(M30)/(C39+U30),"")</f>
        <v>0</v>
      </c>
      <c r="J39" s="1">
        <f>IF(C39,(M31)/(C39+U31),"")</f>
        <v>0</v>
      </c>
      <c r="K39" s="14" t="str">
        <f>IF(AND(C39&lt;&gt;"",N25&lt;&gt;""),9.8*N25*LN((C39+U27)/(C39+V27)),"")</f>
        <v/>
      </c>
      <c r="L39" s="1">
        <f>IF(C39,9.8*F28*LN((C39+U28)/(C39+V28)),"")</f>
        <v>3538.955314445654</v>
      </c>
      <c r="M39" s="1">
        <f>IF(C39,9.8*F29*LN((C39+U29)/(C39+V29)),"")</f>
        <v>8036.412639839803</v>
      </c>
      <c r="N39" s="1">
        <f>IF(C39,9.8*F30*LN((C39+U30)/(C39+V30)),"")</f>
        <v>0</v>
      </c>
      <c r="O39" s="1">
        <f>IF(C39,9.8*F31*LN((C39+U31)/(C39+V31)),"")</f>
        <v>0</v>
      </c>
      <c r="P39" s="15">
        <f>IF(C39,SUM(K39:O39),"")</f>
        <v>11575.367954285457</v>
      </c>
      <c r="Q39" s="1"/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/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46</v>
      </c>
      <c r="B41" s="49" t="s">
        <v>33</v>
      </c>
      <c r="C41" s="50"/>
      <c r="D41" s="25" t="str">
        <f>IF(C41,C41+Q27,"")</f>
        <v/>
      </c>
      <c r="E41" s="73" t="str">
        <f t="shared" si="10"/>
        <v/>
      </c>
      <c r="F41" s="70" t="str">
        <f>IF(AND(C41&lt;&gt;"",N25&lt;&gt;""),(M27/F27*E25+M28/F28*D25)/(C41+U27),"")</f>
        <v/>
      </c>
      <c r="G41" s="25" t="str">
        <f>IF(C41,IF(AND(F27&lt;&gt;0,C25&lt;&gt;0),M28,M28/F28*D25)/(C41+U28),"")</f>
        <v/>
      </c>
      <c r="H41" s="25" t="str">
        <f>IF(C41,(M29)/(C41+U29),"")</f>
        <v/>
      </c>
      <c r="I41" s="25" t="str">
        <f>IF(C41,(M30)/(C41+U30),"")</f>
        <v/>
      </c>
      <c r="J41" s="25" t="str">
        <f>IF(C41,(M31)/(C41+U31),"")</f>
        <v/>
      </c>
      <c r="K41" s="70" t="str">
        <f>IF(AND(C41&lt;&gt;"",N25&lt;&gt;""),9.8*N25*LN((C41+U27)/(C41+V27)),"")</f>
        <v/>
      </c>
      <c r="L41" s="25" t="str">
        <f>IF(C41,9.8*F28*LN((C41+U28)/(C41+V28)),"")</f>
        <v/>
      </c>
      <c r="M41" s="25" t="str">
        <f>IF(C41,9.8*F29*LN((C41+U29)/(C41+V29)),"")</f>
        <v/>
      </c>
      <c r="N41" s="25" t="str">
        <f>IF(C41,9.8*F30*LN((C41+U30)/(C41+V30)),"")</f>
        <v/>
      </c>
      <c r="O41" s="25" t="str">
        <f>IF(C41,9.8*F31*LN((C41+U31)/(C41+V31)),"")</f>
        <v/>
      </c>
      <c r="P41" s="71" t="str">
        <f>IF(C41,SUM(K41:O41),"")</f>
        <v/>
      </c>
      <c r="Q41" s="25"/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246</v>
      </c>
      <c r="B43" s="52"/>
      <c r="C43" s="29" t="s">
        <v>0</v>
      </c>
      <c r="D43" s="90" t="s">
        <v>41</v>
      </c>
      <c r="E43" s="90"/>
      <c r="F43" s="43"/>
      <c r="G43" s="43"/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245</v>
      </c>
      <c r="B44" s="39"/>
      <c r="C44" s="2">
        <v>2</v>
      </c>
      <c r="D44" s="2">
        <v>282</v>
      </c>
      <c r="E44" s="2">
        <v>282</v>
      </c>
      <c r="F44" s="41"/>
      <c r="G44" s="42"/>
      <c r="H44" s="42"/>
      <c r="I44" s="24" t="s">
        <v>278</v>
      </c>
      <c r="J44" s="24"/>
      <c r="K44" s="24"/>
      <c r="L44" s="55">
        <f>IFERROR(IF(AND(F46&lt;&gt;0,C44&lt;&gt;0),M46/F46*E44+M47/F47*D44,M47/F47*D44),0)</f>
        <v>2283.6559485530547</v>
      </c>
      <c r="M44" s="53" t="s">
        <v>45</v>
      </c>
      <c r="N44" s="17">
        <f>IF(AND(F46&lt;&gt;0,C44&lt;&gt;0),(M46+M47)/(M46/F46+M47/F47),"")</f>
        <v>311.00000000000006</v>
      </c>
      <c r="O44" s="56" t="s">
        <v>46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1</v>
      </c>
      <c r="D45" s="1" t="s">
        <v>2</v>
      </c>
      <c r="E45" s="1" t="s">
        <v>7</v>
      </c>
      <c r="F45" s="1" t="s">
        <v>8</v>
      </c>
      <c r="G45" s="1" t="s">
        <v>43</v>
      </c>
      <c r="H45" s="1" t="s">
        <v>44</v>
      </c>
      <c r="I45" s="60" t="s">
        <v>257</v>
      </c>
      <c r="J45" s="24"/>
      <c r="K45" s="24"/>
      <c r="L45" s="11" t="s">
        <v>6</v>
      </c>
      <c r="M45" s="12" t="s">
        <v>69</v>
      </c>
      <c r="N45" s="12" t="s">
        <v>15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16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>
        <v>421.3</v>
      </c>
      <c r="D46" s="4">
        <v>16.46</v>
      </c>
      <c r="E46" s="4">
        <v>839.5</v>
      </c>
      <c r="F46" s="4">
        <v>311</v>
      </c>
      <c r="G46" s="19"/>
      <c r="H46" s="20">
        <v>0.12</v>
      </c>
      <c r="I46" s="24"/>
      <c r="J46" s="24"/>
      <c r="K46" s="24"/>
      <c r="L46" s="14">
        <f>C46*C44</f>
        <v>842.6</v>
      </c>
      <c r="M46" s="1">
        <f>E46*C44</f>
        <v>1679</v>
      </c>
      <c r="N46" s="1">
        <f>IF(D46,L46/D46,0)</f>
        <v>51.190765492102067</v>
      </c>
      <c r="O46" s="15">
        <f>L46-N46</f>
        <v>791.40923450789796</v>
      </c>
      <c r="P46" s="14">
        <f>IF(AND(F46&lt;&gt;0,C44&lt;&gt;0),O46/M46*F46/IF(G46,G46,1),0)</f>
        <v>146.59218101962853</v>
      </c>
      <c r="Q46" s="1">
        <f>SUM(L46:L50)</f>
        <v>1360.47</v>
      </c>
      <c r="R46" s="15">
        <f>N46+Q47</f>
        <v>252.49707168894281</v>
      </c>
      <c r="S46" s="14">
        <f>N46+H46*O46</f>
        <v>146.15987363304981</v>
      </c>
      <c r="T46" s="1">
        <f>IF(AND(F46&lt;&gt;0,C44&lt;&gt;0),(1-H46)*O46/M46*F46/IF(G46,G46,1),0)</f>
        <v>129.00111929727311</v>
      </c>
      <c r="U46" s="1">
        <f>SUM(L46:L50)</f>
        <v>1360.47</v>
      </c>
      <c r="V46" s="1">
        <f>S46+U47</f>
        <v>385.45382308626972</v>
      </c>
    </row>
    <row r="47" spans="1:22">
      <c r="A47" s="47"/>
      <c r="B47" s="27">
        <v>1</v>
      </c>
      <c r="C47" s="5">
        <v>421.3</v>
      </c>
      <c r="D47" s="1">
        <v>16.46</v>
      </c>
      <c r="E47" s="1">
        <v>839.5</v>
      </c>
      <c r="F47" s="1">
        <v>311</v>
      </c>
      <c r="G47" s="5">
        <v>0.8</v>
      </c>
      <c r="H47" s="21">
        <v>0.18</v>
      </c>
      <c r="I47" s="30" t="s">
        <v>254</v>
      </c>
      <c r="J47" s="30"/>
      <c r="K47" s="30"/>
      <c r="L47" s="14">
        <f>C47</f>
        <v>421.3</v>
      </c>
      <c r="M47" s="1">
        <f>E47</f>
        <v>839.5</v>
      </c>
      <c r="N47" s="1">
        <f>IF(D47,L47/D47,0)</f>
        <v>25.595382746051033</v>
      </c>
      <c r="O47" s="15">
        <f>L47-N47</f>
        <v>395.70461725394898</v>
      </c>
      <c r="P47" s="14">
        <f t="shared" ref="P47:P50" si="12">IF(F47,O47/M47*F47/IF(G47,G47,1),0)</f>
        <v>183.24022627453564</v>
      </c>
      <c r="Q47" s="1">
        <f>IF(F47,SUM(L47:L50)-P46*M47/F47*IF(G47,G47,1),0)</f>
        <v>201.30630619684075</v>
      </c>
      <c r="R47" s="15">
        <f>N47+Q48</f>
        <v>122.16538274605102</v>
      </c>
      <c r="S47" s="14">
        <f>N47+H47*O47</f>
        <v>96.822213851761845</v>
      </c>
      <c r="T47" s="1">
        <f>IF(F47,(1-H47)*O47/M47*F47/IF(G47,G47,1),0)</f>
        <v>150.25698554511922</v>
      </c>
      <c r="U47" s="1">
        <f>IF(F47,SUM(L47:L50)-T46*M47/F47*IF(G47,G47,1),0)</f>
        <v>239.29394945321991</v>
      </c>
      <c r="V47" s="1">
        <f>S47+U48</f>
        <v>193.39221385176182</v>
      </c>
    </row>
    <row r="48" spans="1:22">
      <c r="A48" s="47"/>
      <c r="B48" s="27">
        <v>2</v>
      </c>
      <c r="C48" s="5">
        <v>96.57</v>
      </c>
      <c r="D48" s="1">
        <v>24.76</v>
      </c>
      <c r="E48" s="1">
        <v>95.3</v>
      </c>
      <c r="F48" s="1">
        <v>348</v>
      </c>
      <c r="G48" s="5"/>
      <c r="H48" s="21"/>
      <c r="I48" s="30" t="s">
        <v>255</v>
      </c>
      <c r="J48" s="30"/>
      <c r="K48" s="30"/>
      <c r="L48" s="14">
        <f>C48</f>
        <v>96.57</v>
      </c>
      <c r="M48" s="1">
        <f>E48</f>
        <v>95.3</v>
      </c>
      <c r="N48" s="1">
        <f>IF(D48,L48/D48,0)</f>
        <v>3.9002423263327941</v>
      </c>
      <c r="O48" s="15">
        <f>L48-N48</f>
        <v>92.669757673667192</v>
      </c>
      <c r="P48" s="14">
        <f t="shared" si="12"/>
        <v>338.39533757015931</v>
      </c>
      <c r="Q48" s="1">
        <f>SUM(L48:L50)</f>
        <v>96.57</v>
      </c>
      <c r="R48" s="15">
        <f>N48+Q49</f>
        <v>3.9002423263327941</v>
      </c>
      <c r="S48" s="14">
        <f>N48+H48*O48</f>
        <v>3.9002423263327941</v>
      </c>
      <c r="T48" s="1">
        <f t="shared" ref="T48:T50" si="13">IF(F48,(1-H48)*O48/M48*F48/IF(G48,G48,1),0)</f>
        <v>338.39533757015931</v>
      </c>
      <c r="U48" s="1">
        <f>SUM(L48:L50)</f>
        <v>96.57</v>
      </c>
      <c r="V48" s="1">
        <f>S48+U49</f>
        <v>3.9002423263327941</v>
      </c>
    </row>
    <row r="49" spans="1:22">
      <c r="A49" s="33" t="s">
        <v>45</v>
      </c>
      <c r="B49" s="27">
        <v>3</v>
      </c>
      <c r="C49" s="5"/>
      <c r="D49" s="1"/>
      <c r="E49" s="1"/>
      <c r="F49" s="1"/>
      <c r="G49" s="5"/>
      <c r="H49" s="21"/>
      <c r="I49" s="30"/>
      <c r="J49" s="30"/>
      <c r="K49" s="30"/>
      <c r="L49" s="14">
        <f>C49</f>
        <v>0</v>
      </c>
      <c r="M49" s="1">
        <f>E49</f>
        <v>0</v>
      </c>
      <c r="N49" s="1">
        <f>IF(D49,L49/D49,0)</f>
        <v>0</v>
      </c>
      <c r="O49" s="15">
        <f>L49-N49</f>
        <v>0</v>
      </c>
      <c r="P49" s="14">
        <f t="shared" si="12"/>
        <v>0</v>
      </c>
      <c r="Q49" s="1">
        <f>SUM(L49:L50)</f>
        <v>0</v>
      </c>
      <c r="R49" s="15">
        <f>N49+Q50</f>
        <v>0</v>
      </c>
      <c r="S49" s="14">
        <f>N49+H49*O49</f>
        <v>0</v>
      </c>
      <c r="T49" s="1">
        <f t="shared" si="13"/>
        <v>0</v>
      </c>
      <c r="U49" s="1">
        <f>SUM(L49:L50)</f>
        <v>0</v>
      </c>
      <c r="V49" s="1">
        <f>S49+U50</f>
        <v>0</v>
      </c>
    </row>
    <row r="50" spans="1:22" ht="15" thickBot="1">
      <c r="A50" s="40"/>
      <c r="B50" s="28">
        <v>4</v>
      </c>
      <c r="C50" s="6"/>
      <c r="D50" s="7"/>
      <c r="E50" s="7"/>
      <c r="F50" s="7"/>
      <c r="G50" s="22"/>
      <c r="H50" s="23"/>
      <c r="I50" s="24"/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2" ht="15" thickBot="1">
      <c r="A51" s="47"/>
      <c r="B51" s="26" t="s">
        <v>38</v>
      </c>
      <c r="C51" s="1" t="s">
        <v>4</v>
      </c>
      <c r="D51" s="1" t="s">
        <v>28</v>
      </c>
      <c r="E51" s="1" t="s">
        <v>265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264</v>
      </c>
    </row>
    <row r="52" spans="1:22">
      <c r="A52" s="47"/>
      <c r="B52" s="27" t="s">
        <v>30</v>
      </c>
      <c r="C52" s="8">
        <v>63.8</v>
      </c>
      <c r="D52" s="1">
        <f>IF(C52,C52+Q46,"")</f>
        <v>1424.27</v>
      </c>
      <c r="E52" s="72">
        <f>IF(C52,C52/D52,"")</f>
        <v>4.4794877375778468E-2</v>
      </c>
      <c r="F52" s="14">
        <f>IF(AND(C52&lt;&gt;"",N44&lt;&gt;""),(M46/F46*E44+M47/F47*D44)/(C52+Q46),"")</f>
        <v>1.603386962130112</v>
      </c>
      <c r="G52" s="1">
        <f>IF(C52,IF(AND(F46&lt;&gt;0,C44&lt;&gt;0),M47,M47/F47*D44)/(C52+Q47),"")</f>
        <v>3.166654207677253</v>
      </c>
      <c r="H52" s="1">
        <f>IF(C52,(M48)/(C52+Q48),"")</f>
        <v>0.59425079503647815</v>
      </c>
      <c r="I52" s="1">
        <f>IF(C52,(M49)/(C52+Q49),"")</f>
        <v>0</v>
      </c>
      <c r="J52" s="1">
        <f>IF(C52,(M50)/(C52+Q50),"")</f>
        <v>0</v>
      </c>
      <c r="K52" s="14">
        <f>IF(AND(C52&lt;&gt;"",N44&lt;&gt;""),9.8*N44*LN((C52+Q46)/(C52+R46)),"")</f>
        <v>4586.124653714438</v>
      </c>
      <c r="L52" s="1">
        <f>IF(C52,9.8*F47*LN((C52+Q47)/(C52+R47)),"")</f>
        <v>1080.6595397987635</v>
      </c>
      <c r="M52" s="1">
        <f>IF(C52,9.8*F48*LN((C52+Q48)/(C52+R48)),"")</f>
        <v>2941.1081094788165</v>
      </c>
      <c r="N52" s="1">
        <f>IF(C52,9.8*F49*LN((C52+Q49)/(C52+R49)),"")</f>
        <v>0</v>
      </c>
      <c r="O52" s="1">
        <f>IF(C52,9.8*F50*LN((C52+Q50)/(C52+R50)),"")</f>
        <v>0</v>
      </c>
      <c r="P52" s="15">
        <f>IF(C52,SUM(K52:O52),"")</f>
        <v>8607.8923029920188</v>
      </c>
      <c r="Q52" s="1"/>
      <c r="R52" s="1"/>
      <c r="S52" s="1"/>
      <c r="T52" s="32" t="str">
        <f>IF(OR(F52&lt;1,AND(F52="",G52&lt;1)),"起飞推重比不得小于0，空天飞机除外","")</f>
        <v/>
      </c>
      <c r="U52" s="1"/>
      <c r="V52" s="1"/>
    </row>
    <row r="53" spans="1:22">
      <c r="A53" s="33" t="s">
        <v>47</v>
      </c>
      <c r="B53" s="27" t="s">
        <v>31</v>
      </c>
      <c r="C53" s="9">
        <v>26.7</v>
      </c>
      <c r="D53" s="1">
        <f>IF(C53,C53+Q46,"")</f>
        <v>1387.17</v>
      </c>
      <c r="E53" s="72">
        <f t="shared" ref="E53:E55" si="14">IF(C53,C53/D53,"")</f>
        <v>1.9247821103397563E-2</v>
      </c>
      <c r="F53" s="14">
        <f>IF(AND(C53&lt;&gt;"",N44&lt;&gt;""),(M46/F46*E44+M47/F47*D44)/(C53+Q46),"")</f>
        <v>1.6462697063467742</v>
      </c>
      <c r="G53" s="1">
        <f>IF(C53,IF(AND(F46&lt;&gt;0,C44&lt;&gt;0),M47,M47/F47*D44)/(C53+Q47),"")</f>
        <v>3.6819157066438724</v>
      </c>
      <c r="H53" s="1">
        <f>IF(C53,(M48)/(C53+Q48),"")</f>
        <v>0.77309969984586679</v>
      </c>
      <c r="I53" s="1">
        <f>IF(C53,(M49)/(C53+Q49),"")</f>
        <v>0</v>
      </c>
      <c r="J53" s="1">
        <f>IF(C53,(M50)/(C53+Q50),"")</f>
        <v>0</v>
      </c>
      <c r="K53" s="14">
        <f>IF(AND(C53&lt;&gt;"",N44&lt;&gt;""),9.8*N44*LN((C53+Q46)/(C53+R46)),"")</f>
        <v>4885.9376186762029</v>
      </c>
      <c r="L53" s="1">
        <f>IF(C53,9.8*F47*LN((C53+Q47)/(C53+R47)),"")</f>
        <v>1299.3711989602361</v>
      </c>
      <c r="M53" s="1">
        <f>IF(C53,9.8*F48*LN((C53+Q48)/(C53+R48)),"")</f>
        <v>4751.946126907982</v>
      </c>
      <c r="N53" s="1">
        <f>IF(C53,9.8*F49*LN((C53+Q49)/(C53+R49)),"")</f>
        <v>0</v>
      </c>
      <c r="O53" s="1">
        <f>IF(C53,9.8*F50*LN((C53+Q50)/(C53+R50)),"")</f>
        <v>0</v>
      </c>
      <c r="P53" s="15">
        <f>IF(C53,SUM(K53:O53),"")</f>
        <v>10937.25494454442</v>
      </c>
      <c r="Q53" s="1"/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</row>
    <row r="54" spans="1:22">
      <c r="A54" s="40"/>
      <c r="B54" s="27" t="s">
        <v>36</v>
      </c>
      <c r="C54" s="9">
        <v>19</v>
      </c>
      <c r="D54" s="1">
        <f>IF(C54,C54+Q46,"")</f>
        <v>1379.47</v>
      </c>
      <c r="E54" s="72">
        <f t="shared" si="14"/>
        <v>1.3773405728286951E-2</v>
      </c>
      <c r="F54" s="14">
        <f>IF(AND(C54&lt;&gt;"",N44&lt;&gt;""),(M46/F46*E44+M47/F47*D44)/(C54+Q46),"")</f>
        <v>1.6554589433282745</v>
      </c>
      <c r="G54" s="1">
        <f>IF(C54,IF(AND(F46&lt;&gt;0,C44&lt;&gt;0),M47,M47/F47*D44)/(C54+Q47),"")</f>
        <v>3.8106035841294434</v>
      </c>
      <c r="H54" s="1">
        <f>IF(C54,(M48)/(C54+Q48),"")</f>
        <v>0.82460846240373797</v>
      </c>
      <c r="I54" s="1">
        <f>IF(C54,(M49)/(C54+Q49),"")</f>
        <v>0</v>
      </c>
      <c r="J54" s="1">
        <f>IF(C54,(M50)/(C54+Q50),"")</f>
        <v>0</v>
      </c>
      <c r="K54" s="14">
        <f>IF(AND(C54&lt;&gt;"",N44&lt;&gt;""),9.8*N44*LN((C54+Q46)/(C54+R46)),"")</f>
        <v>4954.2089357085097</v>
      </c>
      <c r="L54" s="1">
        <f>IF(C54,9.8*F47*LN((C54+Q47)/(C54+R47)),"")</f>
        <v>1356.5353923269381</v>
      </c>
      <c r="M54" s="1">
        <f>IF(C54,9.8*F48*LN((C54+Q48)/(C54+R48)),"")</f>
        <v>5520.5130901718203</v>
      </c>
      <c r="N54" s="1">
        <f>IF(C54,9.8*F49*LN((C54+Q49)/(C54+R49)),"")</f>
        <v>0</v>
      </c>
      <c r="O54" s="1">
        <f>IF(C54,9.8*F50*LN((C54+Q50)/(C54+R50)),"")</f>
        <v>0</v>
      </c>
      <c r="P54" s="15">
        <f>IF(C54,SUM(K54:O54),"")</f>
        <v>11831.257418207268</v>
      </c>
      <c r="Q54" s="1" t="s">
        <v>654</v>
      </c>
      <c r="R54" s="1"/>
      <c r="S54" s="1"/>
      <c r="T54" s="32" t="str">
        <f t="shared" si="15"/>
        <v/>
      </c>
      <c r="U54" s="1"/>
      <c r="V54" s="1"/>
    </row>
    <row r="55" spans="1:22" ht="15" thickBot="1">
      <c r="A55" s="47"/>
      <c r="B55" s="28" t="s">
        <v>5</v>
      </c>
      <c r="C55" s="10"/>
      <c r="D55" s="1" t="str">
        <f>IF(C55,C55+Q46,"")</f>
        <v/>
      </c>
      <c r="E55" s="72" t="str">
        <f t="shared" si="14"/>
        <v/>
      </c>
      <c r="F55" s="14" t="str">
        <f>IF(AND(C55&lt;&gt;"",N44&lt;&gt;""),(M46/F46*E44+M47/F47*D44)/(C55+Q46),"")</f>
        <v/>
      </c>
      <c r="G55" s="1" t="str">
        <f>IF(C55,IF(AND(F46&lt;&gt;0,C44&lt;&gt;0),M47,M47/F47*D44)/(C55+Q47),"")</f>
        <v/>
      </c>
      <c r="H55" s="1" t="str">
        <f>IF(C55,(M48)/(C55+Q48),"")</f>
        <v/>
      </c>
      <c r="I55" s="1" t="str">
        <f>IF(C55,(M49)/(C55+Q49),"")</f>
        <v/>
      </c>
      <c r="J55" s="1" t="str">
        <f>IF(C55,(M50)/(C55+Q50),"")</f>
        <v/>
      </c>
      <c r="K55" s="14" t="str">
        <f>IF(AND(C55&lt;&gt;"",N44&lt;&gt;""),9.8*N44*LN((C55+Q46)/(C55+R46)),"")</f>
        <v/>
      </c>
      <c r="L55" s="1" t="str">
        <f>IF(C55,9.8*F47*LN((C55+Q47)/(C55+R47)),"")</f>
        <v/>
      </c>
      <c r="M55" s="1" t="str">
        <f>IF(C55,9.8*F48*LN((C55+Q48)/(C55+R48)),"")</f>
        <v/>
      </c>
      <c r="N55" s="1" t="str">
        <f>IF(C55,9.8*F49*LN((C55+Q49)/(C55+R49)),"")</f>
        <v/>
      </c>
      <c r="O55" s="1" t="str">
        <f>IF(C55,9.8*F50*LN((C55+Q50)/(C55+R50)),"")</f>
        <v/>
      </c>
      <c r="P55" s="15" t="str">
        <f>IF(C55,SUM(K55:O55),"")</f>
        <v/>
      </c>
      <c r="Q55" s="17"/>
      <c r="R55" s="17"/>
      <c r="S55" s="17"/>
      <c r="T55" s="32" t="str">
        <f t="shared" si="15"/>
        <v/>
      </c>
      <c r="U55" s="1"/>
      <c r="V55" s="1"/>
    </row>
    <row r="56" spans="1:22" ht="15" thickBot="1">
      <c r="A56" s="33" t="s">
        <v>45</v>
      </c>
      <c r="B56" s="26" t="s">
        <v>37</v>
      </c>
      <c r="C56" s="1" t="s">
        <v>9</v>
      </c>
      <c r="D56" s="12" t="s">
        <v>28</v>
      </c>
      <c r="E56" s="12" t="s">
        <v>266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2">
      <c r="A57" s="40"/>
      <c r="B57" s="27" t="s">
        <v>30</v>
      </c>
      <c r="C57" s="8"/>
      <c r="D57" s="1" t="str">
        <f>IF(C57,C57+Q46,"")</f>
        <v/>
      </c>
      <c r="E57" s="72" t="str">
        <f>IF(C57,C57/D57,"")</f>
        <v/>
      </c>
      <c r="F57" s="14" t="str">
        <f>IF(AND(C57&lt;&gt;"",N44&lt;&gt;""),(M46/F46*E44+M47/F47*D44)/(C57+U46),"")</f>
        <v/>
      </c>
      <c r="G57" s="1" t="str">
        <f>IF(C57,IF(AND(F46&lt;&gt;0,C44&lt;&gt;0),M47,M47/F47*D44)/(C57+U47),"")</f>
        <v/>
      </c>
      <c r="H57" s="1" t="str">
        <f>IF(C57,(M48)/(C57+U48),"")</f>
        <v/>
      </c>
      <c r="I57" s="1" t="str">
        <f>IF(C57,(M49)/(C57+U49),"")</f>
        <v/>
      </c>
      <c r="J57" s="1" t="str">
        <f>IF(C57,(M50)/(C57+U50),"")</f>
        <v/>
      </c>
      <c r="K57" s="14" t="str">
        <f>IF(AND(C57&lt;&gt;"",N44&lt;&gt;""),9.8*N44*LN((C57+U46)/(C57+V46)),"")</f>
        <v/>
      </c>
      <c r="L57" s="1" t="str">
        <f>IF(C57,9.8*F47*LN((C57+U47)/(C57+V47)),"")</f>
        <v/>
      </c>
      <c r="M57" s="1" t="str">
        <f>IF(C57,9.8*F48*LN((C57+U48)/(C57+V48)),"")</f>
        <v/>
      </c>
      <c r="N57" s="1" t="str">
        <f>IF(C57,9.8*F49*LN((C57+U49)/(C57+V49)),"")</f>
        <v/>
      </c>
      <c r="O57" s="1" t="str">
        <f>IF(C57,9.8*F50*LN((C57+U50)/(C57+V50)),"")</f>
        <v/>
      </c>
      <c r="P57" s="15" t="str">
        <f>IF(C57,SUM(K57:O57),"")</f>
        <v/>
      </c>
      <c r="Q57" s="1"/>
      <c r="R57" s="1"/>
      <c r="S57" s="1"/>
      <c r="T57" s="32" t="str">
        <f>IF(OR(F57&lt;1,AND(F57="",G57&lt;1)),"起飞推重比不得小于0，空天飞机除外","")</f>
        <v/>
      </c>
      <c r="U57" s="1"/>
      <c r="V57" s="1"/>
    </row>
    <row r="58" spans="1:22">
      <c r="A58" s="47"/>
      <c r="B58" s="27" t="s">
        <v>31</v>
      </c>
      <c r="C58" s="9">
        <v>9.1999999999999993</v>
      </c>
      <c r="D58" s="1">
        <f>IF(C58,C58+Q46,"")</f>
        <v>1369.67</v>
      </c>
      <c r="E58" s="72">
        <f t="shared" ref="E58:E60" si="16">IF(C58,C58/D58,"")</f>
        <v>6.7169464177502603E-3</v>
      </c>
      <c r="F58" s="14">
        <f>IF(AND(C58&lt;&gt;"",N44&lt;&gt;""),(M46/F46*E44+M47/F47*D44)/(C58+U46),"")</f>
        <v>1.667303765544295</v>
      </c>
      <c r="G58" s="1">
        <f>IF(C58,IF(AND(F46&lt;&gt;0,C44&lt;&gt;0),M47,M47/F47*D44)/(C58+U47),"")</f>
        <v>3.3783518747527479</v>
      </c>
      <c r="H58" s="1">
        <f>IF(C58,(M48)/(C58+U48),"")</f>
        <v>0.90101162900633447</v>
      </c>
      <c r="I58" s="1">
        <f>IF(C58,(M49)/(C58+U49),"")</f>
        <v>0</v>
      </c>
      <c r="J58" s="1">
        <f>IF(C58,(M50)/(C58+U50),"")</f>
        <v>0</v>
      </c>
      <c r="K58" s="14">
        <f>IF(AND(C58&lt;&gt;"",N44&lt;&gt;""),9.8*N44*LN((C58+U46)/(C58+V46)),"")</f>
        <v>3792.4267025498611</v>
      </c>
      <c r="L58" s="1">
        <f>IF(C58,9.8*F47*LN((C58+U47)/(C58+V47)),"")</f>
        <v>622.43188658116151</v>
      </c>
      <c r="M58" s="1">
        <f>IF(C58,9.8*F48*LN((C58+U48)/(C58+V48)),"")</f>
        <v>7123.0848866259976</v>
      </c>
      <c r="N58" s="1">
        <f>IF(C58,9.8*F49*LN((C58+U49)/(C58+V49)),"")</f>
        <v>0</v>
      </c>
      <c r="O58" s="1">
        <f>IF(C58,9.8*F50*LN((C58+U50)/(C58+V50)),"")</f>
        <v>0</v>
      </c>
      <c r="P58" s="15">
        <f>IF(C58,SUM(K58:O58),"")</f>
        <v>11537.94347575702</v>
      </c>
      <c r="Q58" s="1" t="s">
        <v>653</v>
      </c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2">
      <c r="A59" s="47"/>
      <c r="B59" s="27" t="s">
        <v>32</v>
      </c>
      <c r="C59" s="9"/>
      <c r="D59" s="1" t="str">
        <f>IF(C59,C59+Q46,"")</f>
        <v/>
      </c>
      <c r="E59" s="72" t="str">
        <f t="shared" si="16"/>
        <v/>
      </c>
      <c r="F59" s="14" t="str">
        <f>IF(AND(C59&lt;&gt;"",N44&lt;&gt;""),(M46/F46*E44+M47/F47*D44)/(C59+U46),"")</f>
        <v/>
      </c>
      <c r="G59" s="1" t="str">
        <f>IF(C59,IF(AND(F46&lt;&gt;0,C44&lt;&gt;0),M47,M47/F47*D44)/(C59+U47),"")</f>
        <v/>
      </c>
      <c r="H59" s="1" t="str">
        <f>IF(C59,(M48)/(C59+U48),"")</f>
        <v/>
      </c>
      <c r="I59" s="1" t="str">
        <f>IF(C59,(M49)/(C59+U49),"")</f>
        <v/>
      </c>
      <c r="J59" s="1" t="str">
        <f>IF(C59,(M50)/(C59+U50),"")</f>
        <v/>
      </c>
      <c r="K59" s="14" t="str">
        <f>IF(AND(C59&lt;&gt;"",N44&lt;&gt;""),9.8*N44*LN((C59+U46)/(C59+V46)),"")</f>
        <v/>
      </c>
      <c r="L59" s="1" t="str">
        <f>IF(C59,9.8*F47*LN((C59+U47)/(C59+V47)),"")</f>
        <v/>
      </c>
      <c r="M59" s="1" t="str">
        <f>IF(C59,9.8*F48*LN((C59+U48)/(C59+V48)),"")</f>
        <v/>
      </c>
      <c r="N59" s="1" t="str">
        <f>IF(C59,9.8*F49*LN((C59+U49)/(C59+V49)),"")</f>
        <v/>
      </c>
      <c r="O59" s="1" t="str">
        <f>IF(C59,9.8*F50*LN((C59+U50)/(C59+V50)),"")</f>
        <v/>
      </c>
      <c r="P59" s="15" t="str">
        <f>IF(C59,SUM(K59:O59),"")</f>
        <v/>
      </c>
      <c r="Q59" s="1" t="s">
        <v>528</v>
      </c>
      <c r="R59" s="1"/>
      <c r="S59" s="1"/>
      <c r="T59" s="32" t="str">
        <f t="shared" si="17"/>
        <v/>
      </c>
      <c r="U59" s="1"/>
      <c r="V59" s="1"/>
    </row>
    <row r="60" spans="1:22" ht="15" thickBot="1">
      <c r="A60" s="48" t="s">
        <v>46</v>
      </c>
      <c r="B60" s="49" t="s">
        <v>33</v>
      </c>
      <c r="C60" s="50"/>
      <c r="D60" s="25" t="str">
        <f>IF(C60,C60+Q46,"")</f>
        <v/>
      </c>
      <c r="E60" s="73" t="str">
        <f t="shared" si="16"/>
        <v/>
      </c>
      <c r="F60" s="70" t="str">
        <f>IF(AND(C60&lt;&gt;"",N44&lt;&gt;""),(M46/F46*E44+M47/F47*D44)/(C60+U46),"")</f>
        <v/>
      </c>
      <c r="G60" s="25" t="str">
        <f>IF(C60,IF(AND(F46&lt;&gt;0,C44&lt;&gt;0),M47,M47/F47*D44)/(C60+U47),"")</f>
        <v/>
      </c>
      <c r="H60" s="25" t="str">
        <f>IF(C60,(M48)/(C60+U48),"")</f>
        <v/>
      </c>
      <c r="I60" s="25" t="str">
        <f>IF(C60,(M49)/(C60+U49),"")</f>
        <v/>
      </c>
      <c r="J60" s="25" t="str">
        <f>IF(C60,(M50)/(C60+U50),"")</f>
        <v/>
      </c>
      <c r="K60" s="70" t="str">
        <f>IF(AND(C60&lt;&gt;"",N44&lt;&gt;""),9.8*N44*LN((C60+U46)/(C60+V46)),"")</f>
        <v/>
      </c>
      <c r="L60" s="25" t="str">
        <f>IF(C60,9.8*F47*LN((C60+U47)/(C60+V47)),"")</f>
        <v/>
      </c>
      <c r="M60" s="25" t="str">
        <f>IF(C60,9.8*F48*LN((C60+U48)/(C60+V48)),"")</f>
        <v/>
      </c>
      <c r="N60" s="25" t="str">
        <f>IF(C60,9.8*F49*LN((C60+U49)/(C60+V49)),"")</f>
        <v/>
      </c>
      <c r="O60" s="25" t="str">
        <f>IF(C60,9.8*F50*LN((C60+U50)/(C60+V50)),"")</f>
        <v/>
      </c>
      <c r="P60" s="71" t="str">
        <f>IF(C60,SUM(K60:O60),"")</f>
        <v/>
      </c>
      <c r="Q60" s="25"/>
      <c r="R60" s="25"/>
      <c r="S60" s="25"/>
      <c r="T60" s="51" t="str">
        <f t="shared" si="17"/>
        <v/>
      </c>
      <c r="U60" s="25"/>
      <c r="V60" s="25"/>
    </row>
    <row r="61" spans="1:22" ht="15" thickBot="1"/>
    <row r="62" spans="1:22" ht="15" thickBot="1">
      <c r="A62" s="52" t="s">
        <v>238</v>
      </c>
      <c r="B62" s="52"/>
      <c r="C62" s="29" t="s">
        <v>0</v>
      </c>
      <c r="D62" s="90" t="s">
        <v>41</v>
      </c>
      <c r="E62" s="90"/>
      <c r="F62" s="43"/>
      <c r="G62" s="43"/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2" ht="15" thickBot="1">
      <c r="A63" s="40" t="s">
        <v>247</v>
      </c>
      <c r="B63" s="39"/>
      <c r="C63" s="2">
        <v>2</v>
      </c>
      <c r="D63" s="2">
        <v>360</v>
      </c>
      <c r="E63" s="2">
        <v>360</v>
      </c>
      <c r="F63" s="41"/>
      <c r="G63" s="42"/>
      <c r="H63" s="42"/>
      <c r="I63" s="24" t="s">
        <v>305</v>
      </c>
      <c r="J63" s="24"/>
      <c r="K63" s="24"/>
      <c r="L63" s="55">
        <f>IFERROR(IF(AND(F65&lt;&gt;0,C63&lt;&gt;0),M65/F65*E63+M66/F66*D63,M66/F66*D63),0)</f>
        <v>961.25242718446611</v>
      </c>
      <c r="M63" s="53" t="s">
        <v>45</v>
      </c>
      <c r="N63" s="17">
        <f>IF(AND(F65&lt;&gt;0,C63&lt;&gt;0),(M65+M66)/(M65/F65+M66/F66),"")</f>
        <v>411.99999999999994</v>
      </c>
      <c r="O63" s="56" t="s">
        <v>46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2" ht="15" thickBot="1">
      <c r="A64" s="33" t="s">
        <v>45</v>
      </c>
      <c r="B64" s="26" t="s">
        <v>39</v>
      </c>
      <c r="C64" s="1" t="s">
        <v>60</v>
      </c>
      <c r="D64" s="1" t="s">
        <v>61</v>
      </c>
      <c r="E64" s="1" t="s">
        <v>62</v>
      </c>
      <c r="F64" s="1" t="s">
        <v>63</v>
      </c>
      <c r="G64" s="1" t="s">
        <v>64</v>
      </c>
      <c r="H64" s="1" t="s">
        <v>65</v>
      </c>
      <c r="I64" s="60" t="s">
        <v>277</v>
      </c>
      <c r="J64" s="24"/>
      <c r="K64" s="24"/>
      <c r="L64" s="11" t="s">
        <v>6</v>
      </c>
      <c r="M64" s="12" t="s">
        <v>69</v>
      </c>
      <c r="N64" s="12" t="s">
        <v>15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16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>
        <v>226.4</v>
      </c>
      <c r="D65" s="4">
        <v>8.7100000000000009</v>
      </c>
      <c r="E65" s="4">
        <v>366.7</v>
      </c>
      <c r="F65" s="4">
        <v>412</v>
      </c>
      <c r="G65" s="19"/>
      <c r="H65" s="20"/>
      <c r="I65" s="24" t="s">
        <v>275</v>
      </c>
      <c r="J65" s="24"/>
      <c r="K65" s="24"/>
      <c r="L65" s="14">
        <f>C65*C63</f>
        <v>452.8</v>
      </c>
      <c r="M65" s="1">
        <f>E65*C63</f>
        <v>733.4</v>
      </c>
      <c r="N65" s="1">
        <f>IF(D65,L65/D65,0)</f>
        <v>51.986222732491385</v>
      </c>
      <c r="O65" s="15">
        <f>L65-N65</f>
        <v>400.81377726750861</v>
      </c>
      <c r="P65" s="14">
        <f>IF(AND(F65&lt;&gt;0,C63&lt;&gt;0),O65/M65*F65/IF(G65,G65,1),0)</f>
        <v>225.16399813773324</v>
      </c>
      <c r="Q65" s="1">
        <f>SUM(L65:L69)</f>
        <v>709.90000000000009</v>
      </c>
      <c r="R65" s="15">
        <f>N65+Q66</f>
        <v>182.42906911595867</v>
      </c>
      <c r="S65" s="14">
        <f>N65+H65*O65</f>
        <v>51.986222732491385</v>
      </c>
      <c r="T65" s="1">
        <f>IF(AND(F65&lt;&gt;0,C63&lt;&gt;0),(1-H65)*O65/M65*F65/IF(G65,G65,1),0)</f>
        <v>225.16399813773324</v>
      </c>
      <c r="U65" s="1">
        <f>SUM(L65:L69)</f>
        <v>709.90000000000009</v>
      </c>
      <c r="V65" s="1">
        <f>S65+U66</f>
        <v>182.42906911595867</v>
      </c>
    </row>
    <row r="66" spans="1:22">
      <c r="A66" s="47"/>
      <c r="B66" s="27">
        <v>1</v>
      </c>
      <c r="C66" s="5">
        <v>226.4</v>
      </c>
      <c r="D66" s="1">
        <v>8.7100000000000009</v>
      </c>
      <c r="E66" s="1">
        <v>366.7</v>
      </c>
      <c r="F66" s="1">
        <v>412</v>
      </c>
      <c r="G66" s="5">
        <v>0.63200000000000001</v>
      </c>
      <c r="H66" s="21"/>
      <c r="I66" s="30" t="s">
        <v>275</v>
      </c>
      <c r="J66" s="30"/>
      <c r="K66" s="30"/>
      <c r="L66" s="14">
        <f>C66</f>
        <v>226.4</v>
      </c>
      <c r="M66" s="1">
        <f>E66</f>
        <v>366.7</v>
      </c>
      <c r="N66" s="1">
        <f>IF(D66,L66/D66,0)</f>
        <v>25.993111366245692</v>
      </c>
      <c r="O66" s="15">
        <f>L66-N66</f>
        <v>200.40688863375431</v>
      </c>
      <c r="P66" s="14">
        <f t="shared" ref="P66:P69" si="18">IF(F66,O66/M66*F66/IF(G66,G66,1),0)</f>
        <v>356.27214895210955</v>
      </c>
      <c r="Q66" s="1">
        <f>IF(F66,SUM(L66:L69)-P65*M66/F66*IF(G66,G66,1),0)</f>
        <v>130.4428463834673</v>
      </c>
      <c r="R66" s="15">
        <f>N66+Q67</f>
        <v>56.693111366245688</v>
      </c>
      <c r="S66" s="14">
        <f>N66+H66*O66</f>
        <v>25.993111366245692</v>
      </c>
      <c r="T66" s="1">
        <f>IF(F66,(1-H66)*O66/M66*F66/IF(G66,G66,1),0)</f>
        <v>356.27214895210955</v>
      </c>
      <c r="U66" s="1">
        <f>IF(F66,SUM(L66:L69)-T65*M66/F66*IF(G66,G66,1),0)</f>
        <v>130.4428463834673</v>
      </c>
      <c r="V66" s="1">
        <f>S66+U67</f>
        <v>56.693111366245688</v>
      </c>
    </row>
    <row r="67" spans="1:22">
      <c r="A67" s="47"/>
      <c r="B67" s="27">
        <v>2</v>
      </c>
      <c r="C67" s="5">
        <v>30.7</v>
      </c>
      <c r="D67" s="1">
        <v>8.82</v>
      </c>
      <c r="E67" s="1">
        <v>11.22</v>
      </c>
      <c r="F67" s="1">
        <v>462</v>
      </c>
      <c r="G67" s="5"/>
      <c r="H67" s="21"/>
      <c r="I67" s="30" t="s">
        <v>276</v>
      </c>
      <c r="J67" s="30"/>
      <c r="K67" s="30"/>
      <c r="L67" s="14">
        <f>C67</f>
        <v>30.7</v>
      </c>
      <c r="M67" s="1">
        <f>E67</f>
        <v>11.22</v>
      </c>
      <c r="N67" s="1">
        <f>IF(D67,L67/D67,0)</f>
        <v>3.4807256235827664</v>
      </c>
      <c r="O67" s="15">
        <f>L67-N67</f>
        <v>27.219274376417232</v>
      </c>
      <c r="P67" s="14">
        <f t="shared" si="18"/>
        <v>1120.7936507936506</v>
      </c>
      <c r="Q67" s="1">
        <f>SUM(L67:L69)</f>
        <v>30.7</v>
      </c>
      <c r="R67" s="15">
        <f>N67+Q68</f>
        <v>3.4807256235827664</v>
      </c>
      <c r="S67" s="14">
        <f>N67+H67*O67</f>
        <v>3.4807256235827664</v>
      </c>
      <c r="T67" s="1">
        <f t="shared" ref="T67:T69" si="19">IF(F67,(1-H67)*O67/M67*F67/IF(G67,G67,1),0)</f>
        <v>1120.7936507936506</v>
      </c>
      <c r="U67" s="1">
        <f>SUM(L67:L69)</f>
        <v>30.7</v>
      </c>
      <c r="V67" s="1">
        <f>S67+U68</f>
        <v>3.4807256235827664</v>
      </c>
    </row>
    <row r="68" spans="1:22">
      <c r="A68" s="33" t="s">
        <v>45</v>
      </c>
      <c r="B68" s="27">
        <v>3</v>
      </c>
      <c r="C68" s="5"/>
      <c r="D68" s="1"/>
      <c r="E68" s="1"/>
      <c r="F68" s="1"/>
      <c r="G68" s="5"/>
      <c r="H68" s="21"/>
      <c r="I68" s="30" t="s">
        <v>304</v>
      </c>
      <c r="J68" s="30"/>
      <c r="K68" s="30"/>
      <c r="L68" s="14">
        <f>C68</f>
        <v>0</v>
      </c>
      <c r="M68" s="1">
        <f>E68</f>
        <v>0</v>
      </c>
      <c r="N68" s="1">
        <f>IF(D68,L68/D68,0)</f>
        <v>0</v>
      </c>
      <c r="O68" s="15">
        <f>L68-N68</f>
        <v>0</v>
      </c>
      <c r="P68" s="14">
        <f t="shared" si="18"/>
        <v>0</v>
      </c>
      <c r="Q68" s="1">
        <f>SUM(L68:L69)</f>
        <v>0</v>
      </c>
      <c r="R68" s="15">
        <f>N68+Q69</f>
        <v>0</v>
      </c>
      <c r="S68" s="14">
        <f>N68+H68*O68</f>
        <v>0</v>
      </c>
      <c r="T68" s="1">
        <f t="shared" si="19"/>
        <v>0</v>
      </c>
      <c r="U68" s="1">
        <f>SUM(L68:L69)</f>
        <v>0</v>
      </c>
      <c r="V68" s="1">
        <f>S68+U69</f>
        <v>0</v>
      </c>
    </row>
    <row r="69" spans="1:22" ht="15" thickBot="1">
      <c r="A69" s="40"/>
      <c r="B69" s="28">
        <v>4</v>
      </c>
      <c r="C69" s="6"/>
      <c r="D69" s="7"/>
      <c r="E69" s="7"/>
      <c r="F69" s="7"/>
      <c r="G69" s="22"/>
      <c r="H69" s="23"/>
      <c r="I69" s="24"/>
      <c r="J69" s="24"/>
      <c r="K69" s="24"/>
      <c r="L69" s="16">
        <f>C69</f>
        <v>0</v>
      </c>
      <c r="M69" s="17">
        <f>E69</f>
        <v>0</v>
      </c>
      <c r="N69" s="17">
        <f>IF(D69,L69/D69,0)</f>
        <v>0</v>
      </c>
      <c r="O69" s="18">
        <f>L69-N69</f>
        <v>0</v>
      </c>
      <c r="P69" s="14">
        <f t="shared" si="18"/>
        <v>0</v>
      </c>
      <c r="Q69" s="17">
        <f>SUM(L69:L69)</f>
        <v>0</v>
      </c>
      <c r="R69" s="18">
        <f>N69</f>
        <v>0</v>
      </c>
      <c r="S69" s="16">
        <f>N69+H69*O69</f>
        <v>0</v>
      </c>
      <c r="T69" s="17">
        <f t="shared" si="19"/>
        <v>0</v>
      </c>
      <c r="U69" s="17">
        <f>SUM(L69:L69)</f>
        <v>0</v>
      </c>
      <c r="V69" s="17">
        <f>S69</f>
        <v>0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265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264</v>
      </c>
    </row>
    <row r="71" spans="1:22">
      <c r="A71" s="47"/>
      <c r="B71" s="27" t="s">
        <v>30</v>
      </c>
      <c r="C71" s="8">
        <v>28.8</v>
      </c>
      <c r="D71" s="1">
        <f>IF(C71,C71+Q65,"")</f>
        <v>738.7</v>
      </c>
      <c r="E71" s="72">
        <f>IF(C71,C71/D71,"")</f>
        <v>3.8987410315418976E-2</v>
      </c>
      <c r="F71" s="14">
        <f>IF(AND(C71&lt;&gt;"",N63&lt;&gt;""),(M65/F65*E63+M66/F66*D63)/(C71+Q65),"")</f>
        <v>1.3012757915046245</v>
      </c>
      <c r="G71" s="1">
        <f>IF(C71,IF(AND(F65&lt;&gt;0,C63&lt;&gt;0),M66,M66/F66*D63)/(C71+Q66),"")</f>
        <v>2.3027722018793995</v>
      </c>
      <c r="H71" s="1">
        <f>IF(C71,(M67)/(C71+Q67),"")</f>
        <v>0.18857142857142858</v>
      </c>
      <c r="I71" s="1">
        <f>IF(C71,(M68)/(C71+Q68),"")</f>
        <v>0</v>
      </c>
      <c r="J71" s="1">
        <f>IF(C71,(M69)/(C71+Q69),"")</f>
        <v>0</v>
      </c>
      <c r="K71" s="14">
        <f>IF(AND(C71&lt;&gt;"",N63&lt;&gt;""),9.8*N63*LN((C71+Q65)/(C71+R65)),"")</f>
        <v>5054.8680885388276</v>
      </c>
      <c r="L71" s="1">
        <f>IF(C71,9.8*F66*LN((C71+Q66)/(C71+R66)),"")</f>
        <v>2511.3652713636325</v>
      </c>
      <c r="M71" s="1">
        <f>IF(C71,9.8*F67*LN((C71+Q67)/(C71+R67)),"")</f>
        <v>2768.6545219411278</v>
      </c>
      <c r="N71" s="1">
        <f>IF(C71,9.8*F68*LN((C71+Q68)/(C71+R68)),"")</f>
        <v>0</v>
      </c>
      <c r="O71" s="1">
        <f>IF(C71,9.8*F69*LN((C71+Q69)/(C71+R69)),"")</f>
        <v>0</v>
      </c>
      <c r="P71" s="15">
        <f>IF(C71,SUM(K71:O71),"")</f>
        <v>10334.887881843588</v>
      </c>
      <c r="Q71" s="1"/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47</v>
      </c>
      <c r="B72" s="27" t="s">
        <v>31</v>
      </c>
      <c r="C72" s="9">
        <v>14.2</v>
      </c>
      <c r="D72" s="1">
        <f>IF(C72,C72+Q65,"")</f>
        <v>724.10000000000014</v>
      </c>
      <c r="E72" s="72">
        <f t="shared" ref="E72:E74" si="20">IF(C72,C72/D72,"")</f>
        <v>1.9610551028863412E-2</v>
      </c>
      <c r="F72" s="14">
        <f>IF(AND(C72&lt;&gt;"",N63&lt;&gt;""),(M65/F65*E63+M66/F66*D63)/(C72+Q65),"")</f>
        <v>1.3275133644309707</v>
      </c>
      <c r="G72" s="1">
        <f>IF(C72,IF(AND(F65&lt;&gt;0,C63&lt;&gt;0),M66,M66/F66*D63)/(C72+Q66),"")</f>
        <v>2.5352100651271052</v>
      </c>
      <c r="H72" s="1">
        <f>IF(C72,(M67)/(C72+Q67),"")</f>
        <v>0.24988864142538977</v>
      </c>
      <c r="I72" s="1">
        <f>IF(C72,(M68)/(C72+Q68),"")</f>
        <v>0</v>
      </c>
      <c r="J72" s="1">
        <f>IF(C72,(M69)/(C72+Q69),"")</f>
        <v>0</v>
      </c>
      <c r="K72" s="14">
        <f>IF(AND(C72&lt;&gt;"",N63&lt;&gt;""),9.8*N63*LN((C72+Q65)/(C72+R65)),"")</f>
        <v>5263.4575465641983</v>
      </c>
      <c r="L72" s="1">
        <f>IF(C72,9.8*F66*LN((C72+Q66)/(C72+R66)),"")</f>
        <v>2879.1895722361296</v>
      </c>
      <c r="M72" s="1">
        <f>IF(C72,9.8*F67*LN((C72+Q67)/(C72+R67)),"")</f>
        <v>4219.5543038723081</v>
      </c>
      <c r="N72" s="1">
        <f>IF(C72,9.8*F68*LN((C72+Q68)/(C72+R68)),"")</f>
        <v>0</v>
      </c>
      <c r="O72" s="1">
        <f>IF(C72,9.8*F69*LN((C72+Q69)/(C72+R69)),"")</f>
        <v>0</v>
      </c>
      <c r="P72" s="15">
        <f>IF(C72,SUM(K72:O72),"")</f>
        <v>12362.201422672635</v>
      </c>
      <c r="Q72" s="1"/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36</v>
      </c>
      <c r="C73" s="9">
        <v>9.8000000000000007</v>
      </c>
      <c r="D73" s="1">
        <f>IF(C73,C73+Q65,"")</f>
        <v>719.7</v>
      </c>
      <c r="E73" s="72">
        <f t="shared" si="20"/>
        <v>1.3616784771432541E-2</v>
      </c>
      <c r="F73" s="14">
        <f>IF(AND(C73&lt;&gt;"",N63&lt;&gt;""),(M65/F65*E63+M66/F66*D63)/(C73+Q65),"")</f>
        <v>1.335629327753878</v>
      </c>
      <c r="G73" s="1">
        <f>IF(C73,IF(AND(F65&lt;&gt;0,C63&lt;&gt;0),M66,M66/F66*D63)/(C73+Q66),"")</f>
        <v>2.6147501242047584</v>
      </c>
      <c r="H73" s="1">
        <f>IF(C73,(M67)/(C73+Q67),"")</f>
        <v>0.27703703703703703</v>
      </c>
      <c r="I73" s="1">
        <f>IF(C73,(M68)/(C73+Q68),"")</f>
        <v>0</v>
      </c>
      <c r="J73" s="1">
        <f>IF(C73,(M69)/(C73+Q69),"")</f>
        <v>0</v>
      </c>
      <c r="K73" s="14">
        <f>IF(AND(C73&lt;&gt;"",N63&lt;&gt;""),9.8*N63*LN((C73+Q65)/(C73+R65)),"")</f>
        <v>5330.2244342786962</v>
      </c>
      <c r="L73" s="1">
        <f>IF(C73,9.8*F66*LN((C73+Q66)/(C73+R66)),"")</f>
        <v>3013.1687545040099</v>
      </c>
      <c r="M73" s="1">
        <f>IF(C73,9.8*F67*LN((C73+Q67)/(C73+R67)),"")</f>
        <v>5048.2205345989414</v>
      </c>
      <c r="N73" s="1">
        <f>IF(C73,9.8*F68*LN((C73+Q68)/(C73+R68)),"")</f>
        <v>0</v>
      </c>
      <c r="O73" s="1">
        <f>IF(C73,9.8*F69*LN((C73+Q69)/(C73+R69)),"")</f>
        <v>0</v>
      </c>
      <c r="P73" s="15">
        <f>IF(C73,SUM(K73:O73),"")</f>
        <v>13391.613723381648</v>
      </c>
      <c r="Q73" s="1"/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/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9</v>
      </c>
      <c r="D75" s="12" t="s">
        <v>28</v>
      </c>
      <c r="E75" s="12" t="s">
        <v>266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/>
      <c r="D76" s="1" t="str">
        <f>IF(C76,C76+Q65,"")</f>
        <v/>
      </c>
      <c r="E76" s="72" t="str">
        <f>IF(C76,C76/D76,"")</f>
        <v/>
      </c>
      <c r="F76" s="14" t="str">
        <f>IF(AND(C76&lt;&gt;"",N63&lt;&gt;""),(M65/F65*E63+M66/F66*D63)/(C76+U65),"")</f>
        <v/>
      </c>
      <c r="G76" s="1" t="str">
        <f>IF(C76,IF(AND(F65&lt;&gt;0,C63&lt;&gt;0),M66,M66/F66*D63)/(C76+U66),"")</f>
        <v/>
      </c>
      <c r="H76" s="1" t="str">
        <f>IF(C76,(M67)/(C76+U67),"")</f>
        <v/>
      </c>
      <c r="I76" s="1" t="str">
        <f>IF(C76,(M68)/(C76+U68),"")</f>
        <v/>
      </c>
      <c r="J76" s="1" t="str">
        <f>IF(C76,(M69)/(C76+U69),"")</f>
        <v/>
      </c>
      <c r="K76" s="14" t="str">
        <f>IF(AND(C76&lt;&gt;"",N63&lt;&gt;""),9.8*N63*LN((C76+U65)/(C76+V65)),"")</f>
        <v/>
      </c>
      <c r="L76" s="1" t="str">
        <f>IF(C76,9.8*F66*LN((C76+U66)/(C76+V66)),"")</f>
        <v/>
      </c>
      <c r="M76" s="1" t="str">
        <f>IF(C76,9.8*F67*LN((C76+U67)/(C76+V67)),"")</f>
        <v/>
      </c>
      <c r="N76" s="1" t="str">
        <f>IF(C76,9.8*F68*LN((C76+U68)/(C76+V68)),"")</f>
        <v/>
      </c>
      <c r="O76" s="1" t="str">
        <f>IF(C76,9.8*F69*LN((C76+U69)/(C76+V69)),"")</f>
        <v/>
      </c>
      <c r="P76" s="15" t="str">
        <f>IF(C76,SUM(K76:O76),"")</f>
        <v/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/>
      <c r="D77" s="1" t="str">
        <f>IF(C77,C77+Q65,"")</f>
        <v/>
      </c>
      <c r="E77" s="72" t="str">
        <f t="shared" ref="E77:E79" si="22">IF(C77,C77/D77,"")</f>
        <v/>
      </c>
      <c r="F77" s="14" t="str">
        <f>IF(AND(C77&lt;&gt;"",N63&lt;&gt;""),(M65/F65*E63+M66/F66*D63)/(C77+U65),"")</f>
        <v/>
      </c>
      <c r="G77" s="1" t="str">
        <f>IF(C77,IF(AND(F65&lt;&gt;0,C63&lt;&gt;0),M66,M66/F66*D63)/(C77+U66),"")</f>
        <v/>
      </c>
      <c r="H77" s="1" t="str">
        <f>IF(C77,(M67)/(C77+U67),"")</f>
        <v/>
      </c>
      <c r="I77" s="1" t="str">
        <f>IF(C77,(M68)/(C77+U68),"")</f>
        <v/>
      </c>
      <c r="J77" s="1" t="str">
        <f>IF(C77,(M69)/(C77+U69),"")</f>
        <v/>
      </c>
      <c r="K77" s="14" t="str">
        <f>IF(AND(C77&lt;&gt;"",N63&lt;&gt;""),9.8*N63*LN((C77+U65)/(C77+V65)),"")</f>
        <v/>
      </c>
      <c r="L77" s="1" t="str">
        <f>IF(C77,9.8*F66*LN((C77+U66)/(C77+V66)),"")</f>
        <v/>
      </c>
      <c r="M77" s="1" t="str">
        <f>IF(C77,9.8*F67*LN((C77+U67)/(C77+V67)),"")</f>
        <v/>
      </c>
      <c r="N77" s="1" t="str">
        <f>IF(C77,9.8*F68*LN((C77+U68)/(C77+V68)),"")</f>
        <v/>
      </c>
      <c r="O77" s="1" t="str">
        <f>IF(C77,9.8*F69*LN((C77+U69)/(C77+V69)),"")</f>
        <v/>
      </c>
      <c r="P77" s="15" t="str">
        <f>IF(C77,SUM(K77:O77),"")</f>
        <v/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/>
      <c r="D78" s="1" t="str">
        <f>IF(C78,C78+Q65,"")</f>
        <v/>
      </c>
      <c r="E78" s="72" t="str">
        <f t="shared" si="22"/>
        <v/>
      </c>
      <c r="F78" s="14" t="str">
        <f>IF(AND(C78&lt;&gt;"",N63&lt;&gt;""),(M65/F65*E63+M66/F66*D63)/(C78+U65),"")</f>
        <v/>
      </c>
      <c r="G78" s="1" t="str">
        <f>IF(C78,IF(AND(F65&lt;&gt;0,C63&lt;&gt;0),M66,M66/F66*D63)/(C78+U66),"")</f>
        <v/>
      </c>
      <c r="H78" s="1" t="str">
        <f>IF(C78,(M67)/(C78+U67),"")</f>
        <v/>
      </c>
      <c r="I78" s="1" t="str">
        <f>IF(C78,(M68)/(C78+U68),"")</f>
        <v/>
      </c>
      <c r="J78" s="1" t="str">
        <f>IF(C78,(M69)/(C78+U69),"")</f>
        <v/>
      </c>
      <c r="K78" s="14" t="str">
        <f>IF(AND(C78&lt;&gt;"",N63&lt;&gt;""),9.8*N63*LN((C78+U65)/(C78+V65)),"")</f>
        <v/>
      </c>
      <c r="L78" s="1" t="str">
        <f>IF(C78,9.8*F66*LN((C78+U66)/(C78+V66)),"")</f>
        <v/>
      </c>
      <c r="M78" s="1" t="str">
        <f>IF(C78,9.8*F67*LN((C78+U67)/(C78+V67)),"")</f>
        <v/>
      </c>
      <c r="N78" s="1" t="str">
        <f>IF(C78,9.8*F68*LN((C78+U68)/(C78+V68)),"")</f>
        <v/>
      </c>
      <c r="O78" s="1" t="str">
        <f>IF(C78,9.8*F69*LN((C78+U69)/(C78+V69)),"")</f>
        <v/>
      </c>
      <c r="P78" s="15" t="str">
        <f>IF(C78,SUM(K78:O78),"")</f>
        <v/>
      </c>
      <c r="Q78" s="1"/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46</v>
      </c>
      <c r="B79" s="49" t="s">
        <v>33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239</v>
      </c>
      <c r="B81" s="52"/>
      <c r="C81" s="29" t="s">
        <v>0</v>
      </c>
      <c r="D81" s="90" t="s">
        <v>41</v>
      </c>
      <c r="E81" s="90"/>
      <c r="F81" s="43"/>
      <c r="G81" s="43"/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248</v>
      </c>
      <c r="B82" s="39"/>
      <c r="C82" s="2">
        <v>0</v>
      </c>
      <c r="D82" s="2">
        <v>288</v>
      </c>
      <c r="E82" s="2">
        <v>0</v>
      </c>
      <c r="F82" s="41"/>
      <c r="G82" s="42"/>
      <c r="H82" s="42"/>
      <c r="I82" s="24" t="s">
        <v>306</v>
      </c>
      <c r="J82" s="24"/>
      <c r="K82" s="24"/>
      <c r="L82" s="55">
        <f>IFERROR(IF(AND(F84&lt;&gt;0,C82&lt;&gt;0),M84/F84*E82+M85/F85*D82,M85/F85*D82),0)</f>
        <v>1022.2177215189873</v>
      </c>
      <c r="M82" s="53" t="s">
        <v>45</v>
      </c>
      <c r="N82" s="17" t="str">
        <f>IF(AND(F84&lt;&gt;0,C82&lt;&gt;0),(M84+M85)/(M84/F84+M85/F85),"")</f>
        <v/>
      </c>
      <c r="O82" s="56" t="s">
        <v>46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60</v>
      </c>
      <c r="D83" s="1" t="s">
        <v>61</v>
      </c>
      <c r="E83" s="1" t="s">
        <v>62</v>
      </c>
      <c r="F83" s="1" t="s">
        <v>63</v>
      </c>
      <c r="G83" s="1" t="s">
        <v>64</v>
      </c>
      <c r="H83" s="1" t="s">
        <v>65</v>
      </c>
      <c r="I83" s="59" t="s">
        <v>282</v>
      </c>
      <c r="J83" s="24"/>
      <c r="K83" s="24"/>
      <c r="L83" s="11" t="s">
        <v>6</v>
      </c>
      <c r="M83" s="12" t="s">
        <v>69</v>
      </c>
      <c r="N83" s="12" t="s">
        <v>15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16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/>
      <c r="D84" s="4"/>
      <c r="E84" s="4"/>
      <c r="F84" s="4"/>
      <c r="G84" s="19"/>
      <c r="H84" s="20"/>
      <c r="I84" s="24" t="s">
        <v>285</v>
      </c>
      <c r="J84" s="24"/>
      <c r="K84" s="24"/>
      <c r="L84" s="14">
        <f>C84*C82</f>
        <v>0</v>
      </c>
      <c r="M84" s="1">
        <f>E84*C82</f>
        <v>0</v>
      </c>
      <c r="N84" s="1">
        <f>IF(D84,L84/D84,0)</f>
        <v>0</v>
      </c>
      <c r="O84" s="15">
        <f>L84-N84</f>
        <v>0</v>
      </c>
      <c r="P84" s="14">
        <f>IF(AND(F84&lt;&gt;0,C82&lt;&gt;0),O84/M84*F84/IF(G84,G84,1),0)</f>
        <v>0</v>
      </c>
      <c r="Q84" s="1">
        <f>SUM(L84:L88)</f>
        <v>677.26</v>
      </c>
      <c r="R84" s="15">
        <f>N84+Q85</f>
        <v>677.26</v>
      </c>
      <c r="S84" s="14">
        <f>N84+H84*O84</f>
        <v>0</v>
      </c>
      <c r="T84" s="1">
        <f>IF(AND(F84&lt;&gt;0,C82&lt;&gt;0),(1-H84)*O84/M84*F84/IF(G84,G84,1),0)</f>
        <v>0</v>
      </c>
      <c r="U84" s="1">
        <f>SUM(L84:L88)</f>
        <v>677.26</v>
      </c>
      <c r="V84" s="1">
        <f>S84+U85</f>
        <v>677.26</v>
      </c>
    </row>
    <row r="85" spans="1:22">
      <c r="A85" s="47"/>
      <c r="B85" s="27">
        <v>1</v>
      </c>
      <c r="C85" s="5">
        <v>458.9</v>
      </c>
      <c r="D85" s="1">
        <v>15</v>
      </c>
      <c r="E85" s="1">
        <v>1121.5999999999999</v>
      </c>
      <c r="F85" s="1">
        <v>316</v>
      </c>
      <c r="G85" s="5">
        <v>1</v>
      </c>
      <c r="H85" s="21"/>
      <c r="I85" s="30" t="s">
        <v>279</v>
      </c>
      <c r="J85" s="30"/>
      <c r="K85" s="30"/>
      <c r="L85" s="14">
        <f>C85</f>
        <v>458.9</v>
      </c>
      <c r="M85" s="1">
        <f>E85</f>
        <v>1121.5999999999999</v>
      </c>
      <c r="N85" s="1">
        <f>IF(D85,L85/D85,0)</f>
        <v>30.59333333333333</v>
      </c>
      <c r="O85" s="15">
        <f>L85-N85</f>
        <v>428.30666666666667</v>
      </c>
      <c r="P85" s="14">
        <f t="shared" ref="P85:P88" si="24">IF(F85,O85/M85*F85/IF(G85,G85,1),0)</f>
        <v>120.67127912505944</v>
      </c>
      <c r="Q85" s="1">
        <f>IF(F85,SUM(L85:L88)-P84*M85/F85*IF(G85,G85,1),0)</f>
        <v>677.26</v>
      </c>
      <c r="R85" s="15">
        <f>N85+Q86</f>
        <v>248.95333333333335</v>
      </c>
      <c r="S85" s="14">
        <f>N85+H85*O85</f>
        <v>30.59333333333333</v>
      </c>
      <c r="T85" s="1">
        <f>IF(F85,(1-H85)*O85/M85*F85/IF(G85,G85,1),0)</f>
        <v>120.67127912505944</v>
      </c>
      <c r="U85" s="1">
        <f>IF(F85,SUM(L85:L88)-T84*M85/F85*IF(G85,G85,1),0)</f>
        <v>677.26</v>
      </c>
      <c r="V85" s="1">
        <f>S85+U86</f>
        <v>248.95333333333335</v>
      </c>
    </row>
    <row r="86" spans="1:22">
      <c r="A86" s="47"/>
      <c r="B86" s="27">
        <v>2</v>
      </c>
      <c r="C86" s="5">
        <v>168.3</v>
      </c>
      <c r="D86" s="1">
        <v>15.3</v>
      </c>
      <c r="E86" s="1">
        <v>244.9</v>
      </c>
      <c r="F86" s="1">
        <v>327</v>
      </c>
      <c r="G86" s="5"/>
      <c r="H86" s="21"/>
      <c r="I86" s="30" t="s">
        <v>280</v>
      </c>
      <c r="J86" s="30"/>
      <c r="K86" s="30"/>
      <c r="L86" s="14">
        <f>C86</f>
        <v>168.3</v>
      </c>
      <c r="M86" s="1">
        <f>E86</f>
        <v>244.9</v>
      </c>
      <c r="N86" s="1">
        <f>IF(D86,L86/D86,0)</f>
        <v>11</v>
      </c>
      <c r="O86" s="15">
        <f>L86-N86</f>
        <v>157.30000000000001</v>
      </c>
      <c r="P86" s="14">
        <f t="shared" si="24"/>
        <v>210.03307472437729</v>
      </c>
      <c r="Q86" s="1">
        <f>SUM(L86:L88)</f>
        <v>218.36</v>
      </c>
      <c r="R86" s="15">
        <f>N86+Q87</f>
        <v>61.06</v>
      </c>
      <c r="S86" s="14">
        <f>N86+H86*O86</f>
        <v>11</v>
      </c>
      <c r="T86" s="1">
        <f t="shared" ref="T86:T88" si="25">IF(F86,(1-H86)*O86/M86*F86/IF(G86,G86,1),0)</f>
        <v>210.03307472437729</v>
      </c>
      <c r="U86" s="1">
        <f>SUM(L86:L88)</f>
        <v>218.36</v>
      </c>
      <c r="V86" s="1">
        <f>S86+U87</f>
        <v>61.06</v>
      </c>
    </row>
    <row r="87" spans="1:22">
      <c r="A87" s="33" t="s">
        <v>45</v>
      </c>
      <c r="B87" s="27">
        <v>3</v>
      </c>
      <c r="C87" s="5">
        <v>50.06</v>
      </c>
      <c r="D87" s="1">
        <v>14.3</v>
      </c>
      <c r="E87" s="1">
        <v>62.51</v>
      </c>
      <c r="F87" s="1">
        <v>325</v>
      </c>
      <c r="G87" s="5"/>
      <c r="H87" s="21"/>
      <c r="I87" s="30" t="s">
        <v>281</v>
      </c>
      <c r="J87" s="30"/>
      <c r="K87" s="30"/>
      <c r="L87" s="14">
        <f>C87</f>
        <v>50.06</v>
      </c>
      <c r="M87" s="1">
        <f>E87</f>
        <v>62.51</v>
      </c>
      <c r="N87" s="1">
        <f>IF(D87,L87/D87,0)</f>
        <v>3.5006993006993006</v>
      </c>
      <c r="O87" s="15">
        <f>L87-N87</f>
        <v>46.559300699300699</v>
      </c>
      <c r="P87" s="14">
        <f t="shared" si="24"/>
        <v>242.0696324951644</v>
      </c>
      <c r="Q87" s="1">
        <f>SUM(L87:L88)</f>
        <v>50.06</v>
      </c>
      <c r="R87" s="15">
        <f>N87+Q88</f>
        <v>3.5006993006993006</v>
      </c>
      <c r="S87" s="14">
        <f>N87+H87*O87</f>
        <v>3.5006993006993006</v>
      </c>
      <c r="T87" s="1">
        <f t="shared" si="25"/>
        <v>242.0696324951644</v>
      </c>
      <c r="U87" s="1">
        <f>SUM(L87:L88)</f>
        <v>50.06</v>
      </c>
      <c r="V87" s="1">
        <f>S87+U88</f>
        <v>3.5006993006993006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265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85" t="s">
        <v>42</v>
      </c>
      <c r="R89" s="85"/>
      <c r="S89" s="85"/>
      <c r="T89" s="31" t="s">
        <v>50</v>
      </c>
      <c r="U89" s="35" t="s">
        <v>47</v>
      </c>
      <c r="V89" s="36" t="s">
        <v>264</v>
      </c>
    </row>
    <row r="90" spans="1:22">
      <c r="A90" s="47"/>
      <c r="B90" s="27" t="s">
        <v>30</v>
      </c>
      <c r="C90" s="8">
        <v>23</v>
      </c>
      <c r="D90" s="1">
        <f>IF(C90,C90+Q84,"")</f>
        <v>700.26</v>
      </c>
      <c r="E90" s="72">
        <f>IF(C90,C90/D90,"")</f>
        <v>3.2844943306771769E-2</v>
      </c>
      <c r="F90" s="14" t="str">
        <f>IF(AND(C90&lt;&gt;"",N82&lt;&gt;""),(M84/F84*E82+M85/F85*D82)/(C90+Q84),"")</f>
        <v/>
      </c>
      <c r="G90" s="1">
        <f>IF(C90,IF(AND(F84&lt;&gt;0,C82&lt;&gt;0),M85,M85/F85*D82)/(C90+Q85),"")</f>
        <v>1.459768830889937</v>
      </c>
      <c r="H90" s="1">
        <f>IF(C90,(M86)/(C90+Q86),"")</f>
        <v>1.0146668876367251</v>
      </c>
      <c r="I90" s="1">
        <f>IF(C90,(M87)/(C90+Q87),"")</f>
        <v>0.85559813851628796</v>
      </c>
      <c r="J90" s="1">
        <f>IF(C90,(M88)/(C90+Q88),"")</f>
        <v>0</v>
      </c>
      <c r="K90" s="14" t="str">
        <f>IF(AND(C90&lt;&gt;"",N82&lt;&gt;""),9.8*N82*LN((C90+Q84)/(C90+R84)),"")</f>
        <v/>
      </c>
      <c r="L90" s="1">
        <f>IF(C90,9.8*F85*LN((C90+Q85)/(C90+R85)),"")</f>
        <v>2929.0191284029388</v>
      </c>
      <c r="M90" s="1">
        <f>IF(C90,9.8*F86*LN((C90+Q86)/(C90+R86)),"")</f>
        <v>3380.079939196532</v>
      </c>
      <c r="N90" s="1">
        <f>IF(C90,9.8*F87*LN((C90+Q87)/(C90+R87)),"")</f>
        <v>3229.9400315557436</v>
      </c>
      <c r="O90" s="1">
        <f>IF(C90,9.8*F88*LN((C90+Q88)/(C90+R88)),"")</f>
        <v>0</v>
      </c>
      <c r="P90" s="15">
        <f>IF(C90,SUM(K90:O90),"")</f>
        <v>9539.039099155214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47</v>
      </c>
      <c r="B91" s="27" t="s">
        <v>31</v>
      </c>
      <c r="C91" s="9"/>
      <c r="D91" s="1" t="str">
        <f>IF(C91,C91+Q84,"")</f>
        <v/>
      </c>
      <c r="E91" s="72" t="str">
        <f t="shared" ref="E91:E93" si="26">IF(C91,C91/D91,"")</f>
        <v/>
      </c>
      <c r="F91" s="14" t="str">
        <f>IF(AND(C91&lt;&gt;"",N82&lt;&gt;""),(M84/F84*E82+M85/F85*D82)/(C91+Q84),"")</f>
        <v/>
      </c>
      <c r="G91" s="1" t="str">
        <f>IF(C91,IF(AND(F84&lt;&gt;0,C82&lt;&gt;0),M85,M85/F85*D82)/(C91+Q85),"")</f>
        <v/>
      </c>
      <c r="H91" s="1" t="str">
        <f>IF(C91,(M86)/(C91+Q86),"")</f>
        <v/>
      </c>
      <c r="I91" s="1" t="str">
        <f>IF(C91,(M87)/(C91+Q87),"")</f>
        <v/>
      </c>
      <c r="J91" s="1" t="str">
        <f>IF(C91,(M88)/(C91+Q88),"")</f>
        <v/>
      </c>
      <c r="K91" s="14" t="str">
        <f>IF(AND(C91&lt;&gt;"",N82&lt;&gt;""),9.8*N82*LN((C91+Q84)/(C91+R84)),"")</f>
        <v/>
      </c>
      <c r="L91" s="1" t="str">
        <f>IF(C91,9.8*F85*LN((C91+Q85)/(C91+R85)),"")</f>
        <v/>
      </c>
      <c r="M91" s="1" t="str">
        <f>IF(C91,9.8*F86*LN((C91+Q86)/(C91+R86)),"")</f>
        <v/>
      </c>
      <c r="N91" s="1" t="str">
        <f>IF(C91,9.8*F87*LN((C91+Q87)/(C91+R87)),"")</f>
        <v/>
      </c>
      <c r="O91" s="1" t="str">
        <f>IF(C91,9.8*F88*LN((C91+Q88)/(C91+R88)),"")</f>
        <v/>
      </c>
      <c r="P91" s="15" t="str">
        <f>IF(C91,SUM(K91:O91),"")</f>
        <v/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36</v>
      </c>
      <c r="C92" s="9"/>
      <c r="D92" s="1" t="str">
        <f>IF(C92,C92+Q84,"")</f>
        <v/>
      </c>
      <c r="E92" s="72" t="str">
        <f t="shared" si="26"/>
        <v/>
      </c>
      <c r="F92" s="14" t="str">
        <f>IF(AND(C92&lt;&gt;"",N82&lt;&gt;""),(M84/F84*E82+M85/F85*D82)/(C92+Q84),"")</f>
        <v/>
      </c>
      <c r="G92" s="1" t="str">
        <f>IF(C92,IF(AND(F84&lt;&gt;0,C82&lt;&gt;0),M85,M85/F85*D82)/(C92+Q85),"")</f>
        <v/>
      </c>
      <c r="H92" s="1" t="str">
        <f>IF(C92,(M86)/(C92+Q86),"")</f>
        <v/>
      </c>
      <c r="I92" s="1" t="str">
        <f>IF(C92,(M87)/(C92+Q87),"")</f>
        <v/>
      </c>
      <c r="J92" s="1" t="str">
        <f>IF(C92,(M88)/(C92+Q88),"")</f>
        <v/>
      </c>
      <c r="K92" s="14" t="str">
        <f>IF(AND(C92&lt;&gt;"",N82&lt;&gt;""),9.8*N82*LN((C92+Q84)/(C92+R84)),"")</f>
        <v/>
      </c>
      <c r="L92" s="1" t="str">
        <f>IF(C92,9.8*F85*LN((C92+Q85)/(C92+R85)),"")</f>
        <v/>
      </c>
      <c r="M92" s="1" t="str">
        <f>IF(C92,9.8*F86*LN((C92+Q86)/(C92+R86)),"")</f>
        <v/>
      </c>
      <c r="N92" s="1" t="str">
        <f>IF(C92,9.8*F87*LN((C92+Q87)/(C92+R87)),"")</f>
        <v/>
      </c>
      <c r="O92" s="1" t="str">
        <f>IF(C92,9.8*F88*LN((C92+Q88)/(C92+R88)),"")</f>
        <v/>
      </c>
      <c r="P92" s="15" t="str">
        <f>IF(C92,SUM(K92:O92),"")</f>
        <v/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/>
      <c r="D93" s="1" t="str">
        <f>IF(C93,C93+Q84,"")</f>
        <v/>
      </c>
      <c r="E93" s="72" t="str">
        <f t="shared" si="26"/>
        <v/>
      </c>
      <c r="F93" s="14" t="str">
        <f>IF(AND(C93&lt;&gt;"",N82&lt;&gt;""),(M84/F84*E82+M85/F85*D82)/(C93+Q84),"")</f>
        <v/>
      </c>
      <c r="G93" s="1" t="str">
        <f>IF(C93,IF(AND(F84&lt;&gt;0,C82&lt;&gt;0),M85,M85/F85*D82)/(C93+Q85),"")</f>
        <v/>
      </c>
      <c r="H93" s="1" t="str">
        <f>IF(C93,(M86)/(C93+Q86),"")</f>
        <v/>
      </c>
      <c r="I93" s="1" t="str">
        <f>IF(C93,(M87)/(C93+Q87),"")</f>
        <v/>
      </c>
      <c r="J93" s="1" t="str">
        <f>IF(C93,(M88)/(C93+Q88),"")</f>
        <v/>
      </c>
      <c r="K93" s="14" t="str">
        <f>IF(AND(C93&lt;&gt;"",N82&lt;&gt;""),9.8*N82*LN((C93+Q84)/(C93+R84)),"")</f>
        <v/>
      </c>
      <c r="L93" s="1" t="str">
        <f>IF(C93,9.8*F85*LN((C93+Q85)/(C93+R85)),"")</f>
        <v/>
      </c>
      <c r="M93" s="1" t="str">
        <f>IF(C93,9.8*F86*LN((C93+Q86)/(C93+R86)),"")</f>
        <v/>
      </c>
      <c r="N93" s="1" t="str">
        <f>IF(C93,9.8*F87*LN((C93+Q87)/(C93+R87)),"")</f>
        <v/>
      </c>
      <c r="O93" s="1" t="str">
        <f>IF(C93,9.8*F88*LN((C93+Q88)/(C93+R88)),"")</f>
        <v/>
      </c>
      <c r="P93" s="15" t="str">
        <f>IF(C93,SUM(K93:O93),"")</f>
        <v/>
      </c>
      <c r="Q93" s="17"/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9</v>
      </c>
      <c r="D94" s="12" t="s">
        <v>28</v>
      </c>
      <c r="E94" s="12" t="s">
        <v>266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85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/>
      <c r="D95" s="1" t="str">
        <f>IF(C95,C95+Q84,"")</f>
        <v/>
      </c>
      <c r="E95" s="72" t="str">
        <f>IF(C95,C95/D95,"")</f>
        <v/>
      </c>
      <c r="F95" s="14" t="str">
        <f>IF(AND(C95&lt;&gt;"",N82&lt;&gt;""),(M84/F84*E82+M85/F85*D82)/(C95+U84),"")</f>
        <v/>
      </c>
      <c r="G95" s="1" t="str">
        <f>IF(C95,IF(AND(F84&lt;&gt;0,C82&lt;&gt;0),M85,M85/F85*D82)/(C95+U85),"")</f>
        <v/>
      </c>
      <c r="H95" s="1" t="str">
        <f>IF(C95,(M86)/(C95+U86),"")</f>
        <v/>
      </c>
      <c r="I95" s="1" t="str">
        <f>IF(C95,(M87)/(C95+U87),"")</f>
        <v/>
      </c>
      <c r="J95" s="1" t="str">
        <f>IF(C95,(M88)/(C95+U88),"")</f>
        <v/>
      </c>
      <c r="K95" s="14" t="str">
        <f>IF(AND(C95&lt;&gt;"",N82&lt;&gt;""),9.8*N82*LN((C95+U84)/(C95+V84)),"")</f>
        <v/>
      </c>
      <c r="L95" s="1" t="str">
        <f>IF(C95,9.8*F85*LN((C95+U85)/(C95+V85)),"")</f>
        <v/>
      </c>
      <c r="M95" s="1" t="str">
        <f>IF(C95,9.8*F86*LN((C95+U86)/(C95+V86)),"")</f>
        <v/>
      </c>
      <c r="N95" s="1" t="str">
        <f>IF(C95,9.8*F87*LN((C95+U87)/(C95+V87)),"")</f>
        <v/>
      </c>
      <c r="O95" s="1" t="str">
        <f>IF(C95,9.8*F88*LN((C95+U88)/(C95+V88)),"")</f>
        <v/>
      </c>
      <c r="P95" s="15" t="str">
        <f>IF(C95,SUM(K95:O95),"")</f>
        <v/>
      </c>
      <c r="Q95" s="1"/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/>
      <c r="D96" s="1" t="str">
        <f>IF(C96,C96+Q84,"")</f>
        <v/>
      </c>
      <c r="E96" s="72" t="str">
        <f t="shared" ref="E96:E98" si="28">IF(C96,C96/D96,"")</f>
        <v/>
      </c>
      <c r="F96" s="14" t="str">
        <f>IF(AND(C96&lt;&gt;"",N82&lt;&gt;""),(M84/F84*E82+M85/F85*D82)/(C96+U84),"")</f>
        <v/>
      </c>
      <c r="G96" s="1" t="str">
        <f>IF(C96,IF(AND(F84&lt;&gt;0,C82&lt;&gt;0),M85,M85/F85*D82)/(C96+U85),"")</f>
        <v/>
      </c>
      <c r="H96" s="1" t="str">
        <f>IF(C96,(M86)/(C96+U86),"")</f>
        <v/>
      </c>
      <c r="I96" s="1" t="str">
        <f>IF(C96,(M87)/(C96+U87),"")</f>
        <v/>
      </c>
      <c r="J96" s="1" t="str">
        <f>IF(C96,(M88)/(C96+U88),"")</f>
        <v/>
      </c>
      <c r="K96" s="14" t="str">
        <f>IF(AND(C96&lt;&gt;"",N82&lt;&gt;""),9.8*N82*LN((C96+U84)/(C96+V84)),"")</f>
        <v/>
      </c>
      <c r="L96" s="1" t="str">
        <f>IF(C96,9.8*F85*LN((C96+U85)/(C96+V85)),"")</f>
        <v/>
      </c>
      <c r="M96" s="1" t="str">
        <f>IF(C96,9.8*F86*LN((C96+U86)/(C96+V86)),"")</f>
        <v/>
      </c>
      <c r="N96" s="1" t="str">
        <f>IF(C96,9.8*F87*LN((C96+U87)/(C96+V87)),"")</f>
        <v/>
      </c>
      <c r="O96" s="1" t="str">
        <f>IF(C96,9.8*F88*LN((C96+U88)/(C96+V88)),"")</f>
        <v/>
      </c>
      <c r="P96" s="15" t="str">
        <f>IF(C96,SUM(K96:O96),"")</f>
        <v/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46</v>
      </c>
      <c r="B98" s="49" t="s">
        <v>33</v>
      </c>
      <c r="C98" s="50"/>
      <c r="D98" s="25" t="str">
        <f>IF(C98,C98+Q84,"")</f>
        <v/>
      </c>
      <c r="E98" s="73" t="str">
        <f t="shared" si="28"/>
        <v/>
      </c>
      <c r="F98" s="70" t="str">
        <f>IF(AND(C98&lt;&gt;"",N82&lt;&gt;""),(M84/F84*E82+M85/F85*D82)/(C98+U84),"")</f>
        <v/>
      </c>
      <c r="G98" s="25" t="str">
        <f>IF(C98,IF(AND(F84&lt;&gt;0,C82&lt;&gt;0),M85,M85/F85*D82)/(C98+U85),"")</f>
        <v/>
      </c>
      <c r="H98" s="25" t="str">
        <f>IF(C98,(M86)/(C98+U86),"")</f>
        <v/>
      </c>
      <c r="I98" s="25" t="str">
        <f>IF(C98,(M87)/(C98+U87),"")</f>
        <v/>
      </c>
      <c r="J98" s="25" t="str">
        <f>IF(C98,(M88)/(C98+U88),"")</f>
        <v/>
      </c>
      <c r="K98" s="70" t="str">
        <f>IF(AND(C98&lt;&gt;"",N82&lt;&gt;""),9.8*N82*LN((C98+U84)/(C98+V84)),"")</f>
        <v/>
      </c>
      <c r="L98" s="25" t="str">
        <f>IF(C98,9.8*F85*LN((C98+U85)/(C98+V85)),"")</f>
        <v/>
      </c>
      <c r="M98" s="25" t="str">
        <f>IF(C98,9.8*F86*LN((C98+U86)/(C98+V86)),"")</f>
        <v/>
      </c>
      <c r="N98" s="25" t="str">
        <f>IF(C98,9.8*F87*LN((C98+U87)/(C98+V87)),"")</f>
        <v/>
      </c>
      <c r="O98" s="25" t="str">
        <f>IF(C98,9.8*F88*LN((C98+U88)/(C98+V88)),"")</f>
        <v/>
      </c>
      <c r="P98" s="71" t="str">
        <f>IF(C98,SUM(K98:O98),"")</f>
        <v/>
      </c>
      <c r="Q98" s="25"/>
      <c r="R98" s="25"/>
      <c r="S98" s="25"/>
      <c r="T98" s="51" t="str">
        <f t="shared" si="29"/>
        <v/>
      </c>
      <c r="U98" s="25"/>
      <c r="V98" s="25"/>
    </row>
    <row r="99" spans="1:22" ht="15" thickBot="1"/>
    <row r="100" spans="1:22" ht="15" thickBot="1">
      <c r="A100" s="52" t="s">
        <v>240</v>
      </c>
      <c r="B100" s="52"/>
      <c r="C100" s="29" t="s">
        <v>0</v>
      </c>
      <c r="D100" s="90" t="s">
        <v>41</v>
      </c>
      <c r="E100" s="90"/>
      <c r="F100" s="43"/>
      <c r="G100" s="43"/>
      <c r="H100" s="43"/>
      <c r="I100" s="86" t="s">
        <v>42</v>
      </c>
      <c r="J100" s="86"/>
      <c r="K100" s="86"/>
      <c r="L100" s="54" t="s">
        <v>70</v>
      </c>
      <c r="M100" s="86" t="s">
        <v>71</v>
      </c>
      <c r="N100" s="86"/>
      <c r="O100" s="87"/>
      <c r="P100" s="29" t="s">
        <v>49</v>
      </c>
      <c r="Q100" s="34" t="str">
        <f>IF(OR(P104&lt;P103,T104&lt;T103),"芯级燃烧时间不得小于助推燃烧时间！","")</f>
        <v/>
      </c>
      <c r="R100" s="44"/>
      <c r="S100" s="45"/>
      <c r="T100" s="29"/>
      <c r="U100" s="46" t="s">
        <v>45</v>
      </c>
      <c r="V100" s="46" t="s">
        <v>48</v>
      </c>
    </row>
    <row r="101" spans="1:22" ht="15" thickBot="1">
      <c r="A101" s="40" t="s">
        <v>249</v>
      </c>
      <c r="B101" s="39"/>
      <c r="C101" s="2">
        <v>0</v>
      </c>
      <c r="D101" s="2">
        <v>288</v>
      </c>
      <c r="E101" s="2">
        <v>0</v>
      </c>
      <c r="F101" s="41"/>
      <c r="G101" s="42"/>
      <c r="H101" s="42"/>
      <c r="I101" s="24" t="s">
        <v>283</v>
      </c>
      <c r="J101" s="24"/>
      <c r="K101" s="24"/>
      <c r="L101" s="55">
        <f>IFERROR(IF(AND(F103&lt;&gt;0,C101&lt;&gt;0),M103/F103*E101+M104/F104*D101,M104/F104*D101),0)</f>
        <v>1022.2177215189873</v>
      </c>
      <c r="M101" s="53" t="s">
        <v>45</v>
      </c>
      <c r="N101" s="17" t="str">
        <f>IF(AND(F103&lt;&gt;0,C101&lt;&gt;0),(M103+M104)/(M103/F103+M104/F104),"")</f>
        <v/>
      </c>
      <c r="O101" s="56" t="s">
        <v>46</v>
      </c>
      <c r="P101" s="89" t="s">
        <v>17</v>
      </c>
      <c r="Q101" s="89"/>
      <c r="R101" s="91"/>
      <c r="S101" s="88" t="s">
        <v>18</v>
      </c>
      <c r="T101" s="89"/>
      <c r="U101" s="89"/>
      <c r="V101" s="89"/>
    </row>
    <row r="102" spans="1:22" ht="15" thickBot="1">
      <c r="A102" s="33" t="s">
        <v>45</v>
      </c>
      <c r="B102" s="26" t="s">
        <v>39</v>
      </c>
      <c r="C102" s="1" t="s">
        <v>60</v>
      </c>
      <c r="D102" s="1" t="s">
        <v>61</v>
      </c>
      <c r="E102" s="1" t="s">
        <v>62</v>
      </c>
      <c r="F102" s="1" t="s">
        <v>63</v>
      </c>
      <c r="G102" s="1" t="s">
        <v>64</v>
      </c>
      <c r="H102" s="1" t="s">
        <v>65</v>
      </c>
      <c r="I102" s="59" t="s">
        <v>282</v>
      </c>
      <c r="J102" s="24"/>
      <c r="K102" s="24"/>
      <c r="L102" s="11" t="s">
        <v>6</v>
      </c>
      <c r="M102" s="12" t="s">
        <v>69</v>
      </c>
      <c r="N102" s="12" t="s">
        <v>15</v>
      </c>
      <c r="O102" s="13" t="s">
        <v>14</v>
      </c>
      <c r="P102" s="14" t="s">
        <v>12</v>
      </c>
      <c r="Q102" s="1" t="s">
        <v>10</v>
      </c>
      <c r="R102" s="15" t="s">
        <v>11</v>
      </c>
      <c r="S102" s="14" t="s">
        <v>13</v>
      </c>
      <c r="T102" s="1" t="s">
        <v>16</v>
      </c>
      <c r="U102" s="1" t="s">
        <v>10</v>
      </c>
      <c r="V102" s="1" t="s">
        <v>11</v>
      </c>
    </row>
    <row r="103" spans="1:22">
      <c r="A103" s="40"/>
      <c r="B103" s="27" t="s">
        <v>3</v>
      </c>
      <c r="C103" s="3"/>
      <c r="D103" s="4"/>
      <c r="E103" s="4"/>
      <c r="F103" s="4"/>
      <c r="G103" s="19"/>
      <c r="H103" s="20"/>
      <c r="I103" s="24"/>
      <c r="J103" s="24"/>
      <c r="K103" s="24"/>
      <c r="L103" s="14">
        <f>C103*C101</f>
        <v>0</v>
      </c>
      <c r="M103" s="1">
        <f>E103*C101</f>
        <v>0</v>
      </c>
      <c r="N103" s="1">
        <f>IF(D103,L103/D103,0)</f>
        <v>0</v>
      </c>
      <c r="O103" s="15">
        <f>L103-N103</f>
        <v>0</v>
      </c>
      <c r="P103" s="14">
        <f>IF(AND(F103&lt;&gt;0,C101&lt;&gt;0),O103/M103*F103/IF(G103,G103,1),0)</f>
        <v>0</v>
      </c>
      <c r="Q103" s="1">
        <f>SUM(L103:L107)</f>
        <v>699.43</v>
      </c>
      <c r="R103" s="15">
        <f>N103+Q104</f>
        <v>699.43</v>
      </c>
      <c r="S103" s="14">
        <f>N103+H103*O103</f>
        <v>0</v>
      </c>
      <c r="T103" s="1">
        <f>IF(AND(F103&lt;&gt;0,C101&lt;&gt;0),(1-H103)*O103/M103*F103/IF(G103,G103,1),0)</f>
        <v>0</v>
      </c>
      <c r="U103" s="1">
        <f>SUM(L103:L107)</f>
        <v>699.43</v>
      </c>
      <c r="V103" s="1">
        <f>S103+U104</f>
        <v>699.43</v>
      </c>
    </row>
    <row r="104" spans="1:22">
      <c r="A104" s="47"/>
      <c r="B104" s="27">
        <v>1</v>
      </c>
      <c r="C104" s="5">
        <v>458.9</v>
      </c>
      <c r="D104" s="1">
        <v>15</v>
      </c>
      <c r="E104" s="1">
        <v>1121.5999999999999</v>
      </c>
      <c r="F104" s="1">
        <v>316</v>
      </c>
      <c r="G104" s="5">
        <v>1</v>
      </c>
      <c r="H104" s="21"/>
      <c r="I104" s="30" t="s">
        <v>279</v>
      </c>
      <c r="J104" s="30"/>
      <c r="K104" s="30"/>
      <c r="L104" s="14">
        <f>C104</f>
        <v>458.9</v>
      </c>
      <c r="M104" s="1">
        <f>E104</f>
        <v>1121.5999999999999</v>
      </c>
      <c r="N104" s="1">
        <f>IF(D104,L104/D104,0)</f>
        <v>30.59333333333333</v>
      </c>
      <c r="O104" s="15">
        <f>L104-N104</f>
        <v>428.30666666666667</v>
      </c>
      <c r="P104" s="14">
        <f t="shared" ref="P104:P107" si="30">IF(F104,O104/M104*F104/IF(G104,G104,1),0)</f>
        <v>120.67127912505944</v>
      </c>
      <c r="Q104" s="1">
        <f>IF(F104,SUM(L104:L107)-P103*M104/F104*IF(G104,G104,1),0)</f>
        <v>699.43</v>
      </c>
      <c r="R104" s="15">
        <f>N104+Q105</f>
        <v>271.12333333333333</v>
      </c>
      <c r="S104" s="14">
        <f>N104+H104*O104</f>
        <v>30.59333333333333</v>
      </c>
      <c r="T104" s="1">
        <f>IF(F104,(1-H104)*O104/M104*F104/IF(G104,G104,1),0)</f>
        <v>120.67127912505944</v>
      </c>
      <c r="U104" s="1">
        <f>IF(F104,SUM(L104:L107)-T103*M104/F104*IF(G104,G104,1),0)</f>
        <v>699.43</v>
      </c>
      <c r="V104" s="1">
        <f>S104+U105</f>
        <v>271.12333333333333</v>
      </c>
    </row>
    <row r="105" spans="1:22">
      <c r="A105" s="47"/>
      <c r="B105" s="27">
        <v>2</v>
      </c>
      <c r="C105" s="5">
        <v>168.3</v>
      </c>
      <c r="D105" s="1">
        <v>15.3</v>
      </c>
      <c r="E105" s="1">
        <v>244.9</v>
      </c>
      <c r="F105" s="1">
        <v>327</v>
      </c>
      <c r="G105" s="5"/>
      <c r="H105" s="21"/>
      <c r="I105" s="30" t="s">
        <v>280</v>
      </c>
      <c r="J105" s="30"/>
      <c r="K105" s="30"/>
      <c r="L105" s="14">
        <f>C105</f>
        <v>168.3</v>
      </c>
      <c r="M105" s="1">
        <f>E105</f>
        <v>244.9</v>
      </c>
      <c r="N105" s="1">
        <f>IF(D105,L105/D105,0)</f>
        <v>11</v>
      </c>
      <c r="O105" s="15">
        <f>L105-N105</f>
        <v>157.30000000000001</v>
      </c>
      <c r="P105" s="14">
        <f t="shared" si="30"/>
        <v>210.03307472437729</v>
      </c>
      <c r="Q105" s="1">
        <f>SUM(L105:L107)</f>
        <v>240.53000000000003</v>
      </c>
      <c r="R105" s="15">
        <f>N105+Q106</f>
        <v>83.23</v>
      </c>
      <c r="S105" s="14">
        <f>N105+H105*O105</f>
        <v>11</v>
      </c>
      <c r="T105" s="1">
        <f t="shared" ref="T105:T107" si="31">IF(F105,(1-H105)*O105/M105*F105/IF(G105,G105,1),0)</f>
        <v>210.03307472437729</v>
      </c>
      <c r="U105" s="1">
        <f>SUM(L105:L107)</f>
        <v>240.53000000000003</v>
      </c>
      <c r="V105" s="1">
        <f>S105+U106</f>
        <v>83.23</v>
      </c>
    </row>
    <row r="106" spans="1:22">
      <c r="A106" s="33" t="s">
        <v>45</v>
      </c>
      <c r="B106" s="27">
        <v>3</v>
      </c>
      <c r="C106" s="5">
        <v>50.06</v>
      </c>
      <c r="D106" s="1">
        <v>14.3</v>
      </c>
      <c r="E106" s="1">
        <v>62.51</v>
      </c>
      <c r="F106" s="1">
        <v>325</v>
      </c>
      <c r="G106" s="5"/>
      <c r="H106" s="21"/>
      <c r="I106" s="30" t="s">
        <v>281</v>
      </c>
      <c r="J106" s="30"/>
      <c r="K106" s="30"/>
      <c r="L106" s="14">
        <f>C106</f>
        <v>50.06</v>
      </c>
      <c r="M106" s="1">
        <f>E106</f>
        <v>62.51</v>
      </c>
      <c r="N106" s="1">
        <f>IF(D106,L106/D106,0)</f>
        <v>3.5006993006993006</v>
      </c>
      <c r="O106" s="15">
        <f>L106-N106</f>
        <v>46.559300699300699</v>
      </c>
      <c r="P106" s="14">
        <f t="shared" si="30"/>
        <v>242.0696324951644</v>
      </c>
      <c r="Q106" s="1">
        <f>SUM(L106:L107)</f>
        <v>72.23</v>
      </c>
      <c r="R106" s="15">
        <f>N106+Q107</f>
        <v>25.670699300699301</v>
      </c>
      <c r="S106" s="14">
        <f>N106+H106*O106</f>
        <v>3.5006993006993006</v>
      </c>
      <c r="T106" s="1">
        <f t="shared" si="31"/>
        <v>242.0696324951644</v>
      </c>
      <c r="U106" s="1">
        <f>SUM(L106:L107)</f>
        <v>72.23</v>
      </c>
      <c r="V106" s="1">
        <f>S106+U107</f>
        <v>25.670699300699301</v>
      </c>
    </row>
    <row r="107" spans="1:22" ht="15" thickBot="1">
      <c r="A107" s="40"/>
      <c r="B107" s="28">
        <v>4</v>
      </c>
      <c r="C107" s="6">
        <v>22.17</v>
      </c>
      <c r="D107" s="7">
        <v>9.3539999999999992</v>
      </c>
      <c r="E107" s="7">
        <v>2</v>
      </c>
      <c r="F107" s="7">
        <v>328</v>
      </c>
      <c r="G107" s="22"/>
      <c r="H107" s="23"/>
      <c r="I107" s="24" t="s">
        <v>284</v>
      </c>
      <c r="J107" s="24"/>
      <c r="K107" s="24"/>
      <c r="L107" s="16">
        <f>C107</f>
        <v>22.17</v>
      </c>
      <c r="M107" s="17">
        <f>E107</f>
        <v>2</v>
      </c>
      <c r="N107" s="17">
        <f>IF(D107,L107/D107,0)</f>
        <v>2.370109044259141</v>
      </c>
      <c r="O107" s="18">
        <f>L107-N107</f>
        <v>19.79989095574086</v>
      </c>
      <c r="P107" s="14">
        <f t="shared" si="30"/>
        <v>3247.182116741501</v>
      </c>
      <c r="Q107" s="17">
        <f>SUM(L107:L107)</f>
        <v>22.17</v>
      </c>
      <c r="R107" s="18">
        <f>N107</f>
        <v>2.370109044259141</v>
      </c>
      <c r="S107" s="16">
        <f>N107+H107*O107</f>
        <v>2.370109044259141</v>
      </c>
      <c r="T107" s="17">
        <f t="shared" si="31"/>
        <v>3247.182116741501</v>
      </c>
      <c r="U107" s="17">
        <f>SUM(L107:L107)</f>
        <v>22.17</v>
      </c>
      <c r="V107" s="17">
        <f>S107</f>
        <v>2.370109044259141</v>
      </c>
    </row>
    <row r="108" spans="1:22" ht="15" thickBot="1">
      <c r="A108" s="47"/>
      <c r="B108" s="26" t="s">
        <v>38</v>
      </c>
      <c r="C108" s="1" t="s">
        <v>4</v>
      </c>
      <c r="D108" s="1" t="s">
        <v>28</v>
      </c>
      <c r="E108" s="1" t="s">
        <v>265</v>
      </c>
      <c r="F108" s="69" t="s">
        <v>40</v>
      </c>
      <c r="G108" s="1" t="s">
        <v>29</v>
      </c>
      <c r="H108" s="1" t="s">
        <v>23</v>
      </c>
      <c r="I108" s="12" t="s">
        <v>24</v>
      </c>
      <c r="J108" s="12" t="s">
        <v>25</v>
      </c>
      <c r="K108" s="11" t="s">
        <v>19</v>
      </c>
      <c r="L108" s="12" t="s">
        <v>26</v>
      </c>
      <c r="M108" s="12" t="s">
        <v>20</v>
      </c>
      <c r="N108" s="12" t="s">
        <v>21</v>
      </c>
      <c r="O108" s="12" t="s">
        <v>22</v>
      </c>
      <c r="P108" s="13" t="s">
        <v>27</v>
      </c>
      <c r="Q108" s="85" t="s">
        <v>42</v>
      </c>
      <c r="R108" s="85"/>
      <c r="S108" s="85"/>
      <c r="T108" s="31" t="s">
        <v>50</v>
      </c>
      <c r="U108" s="35" t="s">
        <v>47</v>
      </c>
      <c r="V108" s="36" t="s">
        <v>264</v>
      </c>
    </row>
    <row r="109" spans="1:22">
      <c r="A109" s="47"/>
      <c r="B109" s="27" t="s">
        <v>30</v>
      </c>
      <c r="C109" s="8"/>
      <c r="D109" s="1" t="str">
        <f>IF(C109,C109+Q103,"")</f>
        <v/>
      </c>
      <c r="E109" s="72" t="str">
        <f>IF(C109,C109/D109,"")</f>
        <v/>
      </c>
      <c r="F109" s="14" t="str">
        <f>IF(AND(C109&lt;&gt;"",N101&lt;&gt;""),(M103/F103*E101+M104/F104*D101)/(C109+Q103),"")</f>
        <v/>
      </c>
      <c r="G109" s="1" t="str">
        <f>IF(C109,IF(AND(F103&lt;&gt;0,C101&lt;&gt;0),M104,M104/F104*D101)/(C109+Q104),"")</f>
        <v/>
      </c>
      <c r="H109" s="1" t="str">
        <f>IF(C109,(M105)/(C109+Q105),"")</f>
        <v/>
      </c>
      <c r="I109" s="1" t="str">
        <f>IF(C109,(M106)/(C109+Q106),"")</f>
        <v/>
      </c>
      <c r="J109" s="1" t="str">
        <f>IF(C109,(M107)/(C109+Q107),"")</f>
        <v/>
      </c>
      <c r="K109" s="14" t="str">
        <f>IF(AND(C109&lt;&gt;"",N101&lt;&gt;""),9.8*N101*LN((C109+Q103)/(C109+R103)),"")</f>
        <v/>
      </c>
      <c r="L109" s="1" t="str">
        <f>IF(C109,9.8*F104*LN((C109+Q104)/(C109+R104)),"")</f>
        <v/>
      </c>
      <c r="M109" s="1" t="str">
        <f>IF(C109,9.8*F105*LN((C109+Q105)/(C109+R105)),"")</f>
        <v/>
      </c>
      <c r="N109" s="1" t="str">
        <f>IF(C109,9.8*F106*LN((C109+Q106)/(C109+R106)),"")</f>
        <v/>
      </c>
      <c r="O109" s="1" t="str">
        <f>IF(C109,9.8*F107*LN((C109+Q107)/(C109+R107)),"")</f>
        <v/>
      </c>
      <c r="P109" s="15" t="str">
        <f>IF(C109,SUM(K109:O109),"")</f>
        <v/>
      </c>
      <c r="Q109" s="1"/>
      <c r="R109" s="1"/>
      <c r="S109" s="1"/>
      <c r="T109" s="32" t="str">
        <f>IF(OR(F109&lt;1,AND(F109="",G109&lt;1)),"起飞推重比不得小于0，空天飞机除外","")</f>
        <v/>
      </c>
      <c r="U109" s="1"/>
      <c r="V109" s="1"/>
    </row>
    <row r="110" spans="1:22">
      <c r="A110" s="33" t="s">
        <v>47</v>
      </c>
      <c r="B110" s="27" t="s">
        <v>31</v>
      </c>
      <c r="C110" s="9">
        <v>6.92</v>
      </c>
      <c r="D110" s="1">
        <f>IF(C110,C110+Q103,"")</f>
        <v>706.34999999999991</v>
      </c>
      <c r="E110" s="72">
        <f t="shared" ref="E110:E112" si="32">IF(C110,C110/D110,"")</f>
        <v>9.7968429248955907E-3</v>
      </c>
      <c r="F110" s="14" t="str">
        <f>IF(AND(C110&lt;&gt;"",N101&lt;&gt;""),(M103/F103*E101+M104/F104*D101)/(C110+Q103),"")</f>
        <v/>
      </c>
      <c r="G110" s="1">
        <f>IF(C110,IF(AND(F103&lt;&gt;0,C101&lt;&gt;0),M104,M104/F104*D101)/(C110+Q104),"")</f>
        <v>1.4471830134055177</v>
      </c>
      <c r="H110" s="1">
        <f>IF(C110,(M105)/(C110+Q105),"")</f>
        <v>0.98969488785613247</v>
      </c>
      <c r="I110" s="1">
        <f>IF(C110,(M106)/(C110+Q106),"")</f>
        <v>0.78976626658243831</v>
      </c>
      <c r="J110" s="1">
        <f>IF(C110,(M107)/(C110+Q107),"")</f>
        <v>6.8752148504640759E-2</v>
      </c>
      <c r="K110" s="14" t="str">
        <f>IF(AND(C110&lt;&gt;"",N101&lt;&gt;""),9.8*N101*LN((C110+Q103)/(C110+R103)),"")</f>
        <v/>
      </c>
      <c r="L110" s="1">
        <f>IF(C110,9.8*F104*LN((C110+Q104)/(C110+R104)),"")</f>
        <v>2887.2515859519149</v>
      </c>
      <c r="M110" s="1">
        <f>IF(C110,9.8*F105*LN((C110+Q105)/(C110+R105)),"")</f>
        <v>3235.7922681174641</v>
      </c>
      <c r="N110" s="1">
        <f>IF(C110,9.8*F106*LN((C110+Q106)/(C110+R106)),"")</f>
        <v>2826.1073082460457</v>
      </c>
      <c r="O110" s="1">
        <f>IF(C110,9.8*F107*LN((C110+Q107)/(C110+R107)),"")</f>
        <v>3669.0581784272749</v>
      </c>
      <c r="P110" s="15">
        <f>IF(C110,SUM(K110:O110),"")</f>
        <v>12618.2093407427</v>
      </c>
      <c r="Q110" s="1"/>
      <c r="R110" s="1"/>
      <c r="S110" s="1"/>
      <c r="T110" s="32" t="str">
        <f t="shared" ref="T110:T112" si="33">IF(OR(F110&lt;1,AND(F110="",G110&lt;1)),"起飞推重比不得小于0，空天飞机除外","")</f>
        <v/>
      </c>
      <c r="U110" s="1"/>
      <c r="V110" s="1"/>
    </row>
    <row r="111" spans="1:22">
      <c r="A111" s="40"/>
      <c r="B111" s="27" t="s">
        <v>36</v>
      </c>
      <c r="C111" s="9"/>
      <c r="D111" s="1" t="str">
        <f>IF(C111,C111+Q103,"")</f>
        <v/>
      </c>
      <c r="E111" s="72" t="str">
        <f t="shared" si="32"/>
        <v/>
      </c>
      <c r="F111" s="14" t="str">
        <f>IF(AND(C111&lt;&gt;"",N101&lt;&gt;""),(M103/F103*E101+M104/F104*D101)/(C111+Q103),"")</f>
        <v/>
      </c>
      <c r="G111" s="1" t="str">
        <f>IF(C111,IF(AND(F103&lt;&gt;0,C101&lt;&gt;0),M104,M104/F104*D101)/(C111+Q104),"")</f>
        <v/>
      </c>
      <c r="H111" s="1" t="str">
        <f>IF(C111,(M105)/(C111+Q105),"")</f>
        <v/>
      </c>
      <c r="I111" s="1" t="str">
        <f>IF(C111,(M106)/(C111+Q106),"")</f>
        <v/>
      </c>
      <c r="J111" s="1" t="str">
        <f>IF(C111,(M107)/(C111+Q107),"")</f>
        <v/>
      </c>
      <c r="K111" s="14" t="str">
        <f>IF(AND(C111&lt;&gt;"",N101&lt;&gt;""),9.8*N101*LN((C111+Q103)/(C111+R103)),"")</f>
        <v/>
      </c>
      <c r="L111" s="1" t="str">
        <f>IF(C111,9.8*F104*LN((C111+Q104)/(C111+R104)),"")</f>
        <v/>
      </c>
      <c r="M111" s="1" t="str">
        <f>IF(C111,9.8*F105*LN((C111+Q105)/(C111+R105)),"")</f>
        <v/>
      </c>
      <c r="N111" s="1" t="str">
        <f>IF(C111,9.8*F106*LN((C111+Q106)/(C111+R106)),"")</f>
        <v/>
      </c>
      <c r="O111" s="1" t="str">
        <f>IF(C111,9.8*F107*LN((C111+Q107)/(C111+R107)),"")</f>
        <v/>
      </c>
      <c r="P111" s="15" t="str">
        <f>IF(C111,SUM(K111:O111),"")</f>
        <v/>
      </c>
      <c r="Q111" s="1"/>
      <c r="R111" s="1"/>
      <c r="S111" s="1"/>
      <c r="T111" s="32" t="str">
        <f t="shared" si="33"/>
        <v/>
      </c>
      <c r="U111" s="1"/>
      <c r="V111" s="1"/>
    </row>
    <row r="112" spans="1:22" ht="15" thickBot="1">
      <c r="A112" s="47"/>
      <c r="B112" s="28" t="s">
        <v>5</v>
      </c>
      <c r="C112" s="10"/>
      <c r="D112" s="1" t="str">
        <f>IF(C112,C112+Q103,"")</f>
        <v/>
      </c>
      <c r="E112" s="72" t="str">
        <f t="shared" si="32"/>
        <v/>
      </c>
      <c r="F112" s="14" t="str">
        <f>IF(AND(C112&lt;&gt;"",N101&lt;&gt;""),(M103/F103*E101+M104/F104*D101)/(C112+Q103),"")</f>
        <v/>
      </c>
      <c r="G112" s="1" t="str">
        <f>IF(C112,IF(AND(F103&lt;&gt;0,C101&lt;&gt;0),M104,M104/F104*D101)/(C112+Q104),"")</f>
        <v/>
      </c>
      <c r="H112" s="1" t="str">
        <f>IF(C112,(M105)/(C112+Q105),"")</f>
        <v/>
      </c>
      <c r="I112" s="1" t="str">
        <f>IF(C112,(M106)/(C112+Q106),"")</f>
        <v/>
      </c>
      <c r="J112" s="1" t="str">
        <f>IF(C112,(M107)/(C112+Q107),"")</f>
        <v/>
      </c>
      <c r="K112" s="14" t="str">
        <f>IF(AND(C112&lt;&gt;"",N101&lt;&gt;""),9.8*N101*LN((C112+Q103)/(C112+R103)),"")</f>
        <v/>
      </c>
      <c r="L112" s="1" t="str">
        <f>IF(C112,9.8*F104*LN((C112+Q104)/(C112+R104)),"")</f>
        <v/>
      </c>
      <c r="M112" s="1" t="str">
        <f>IF(C112,9.8*F105*LN((C112+Q105)/(C112+R105)),"")</f>
        <v/>
      </c>
      <c r="N112" s="1" t="str">
        <f>IF(C112,9.8*F106*LN((C112+Q106)/(C112+R106)),"")</f>
        <v/>
      </c>
      <c r="O112" s="1" t="str">
        <f>IF(C112,9.8*F107*LN((C112+Q107)/(C112+R107)),"")</f>
        <v/>
      </c>
      <c r="P112" s="15" t="str">
        <f>IF(C112,SUM(K112:O112),"")</f>
        <v/>
      </c>
      <c r="Q112" s="17"/>
      <c r="R112" s="17"/>
      <c r="S112" s="17"/>
      <c r="T112" s="32" t="str">
        <f t="shared" si="33"/>
        <v/>
      </c>
      <c r="U112" s="1"/>
      <c r="V112" s="1"/>
    </row>
    <row r="113" spans="1:22" ht="15" thickBot="1">
      <c r="A113" s="33" t="s">
        <v>45</v>
      </c>
      <c r="B113" s="26" t="s">
        <v>37</v>
      </c>
      <c r="C113" s="1" t="s">
        <v>9</v>
      </c>
      <c r="D113" s="12" t="s">
        <v>28</v>
      </c>
      <c r="E113" s="12" t="s">
        <v>266</v>
      </c>
      <c r="F113" s="11" t="s">
        <v>40</v>
      </c>
      <c r="G113" s="12" t="s">
        <v>29</v>
      </c>
      <c r="H113" s="12" t="s">
        <v>23</v>
      </c>
      <c r="I113" s="12" t="s">
        <v>24</v>
      </c>
      <c r="J113" s="12" t="s">
        <v>25</v>
      </c>
      <c r="K113" s="11" t="s">
        <v>19</v>
      </c>
      <c r="L113" s="12" t="s">
        <v>26</v>
      </c>
      <c r="M113" s="12" t="s">
        <v>20</v>
      </c>
      <c r="N113" s="12" t="s">
        <v>21</v>
      </c>
      <c r="O113" s="12" t="s">
        <v>22</v>
      </c>
      <c r="P113" s="13" t="s">
        <v>27</v>
      </c>
      <c r="Q113" s="85" t="s">
        <v>42</v>
      </c>
      <c r="R113" s="85"/>
      <c r="S113" s="85"/>
      <c r="T113" s="12" t="s">
        <v>51</v>
      </c>
      <c r="U113" s="37" t="s">
        <v>45</v>
      </c>
      <c r="V113" s="38" t="s">
        <v>48</v>
      </c>
    </row>
    <row r="114" spans="1:22">
      <c r="A114" s="40"/>
      <c r="B114" s="27" t="s">
        <v>30</v>
      </c>
      <c r="C114" s="8"/>
      <c r="D114" s="1" t="str">
        <f>IF(C114,C114+Q103,"")</f>
        <v/>
      </c>
      <c r="E114" s="72" t="str">
        <f>IF(C114,C114/D114,"")</f>
        <v/>
      </c>
      <c r="F114" s="14" t="str">
        <f>IF(AND(C114&lt;&gt;"",N101&lt;&gt;""),(M103/F103*E101+M104/F104*D101)/(C114+U103),"")</f>
        <v/>
      </c>
      <c r="G114" s="1" t="str">
        <f>IF(C114,IF(AND(F103&lt;&gt;0,C101&lt;&gt;0),M104,M104/F104*D101)/(C114+U104),"")</f>
        <v/>
      </c>
      <c r="H114" s="1" t="str">
        <f>IF(C114,(M105)/(C114+U105),"")</f>
        <v/>
      </c>
      <c r="I114" s="1" t="str">
        <f>IF(C114,(M106)/(C114+U106),"")</f>
        <v/>
      </c>
      <c r="J114" s="1" t="str">
        <f>IF(C114,(M107)/(C114+U107),"")</f>
        <v/>
      </c>
      <c r="K114" s="14" t="str">
        <f>IF(AND(C114&lt;&gt;"",N101&lt;&gt;""),9.8*N101*LN((C114+U103)/(C114+V103)),"")</f>
        <v/>
      </c>
      <c r="L114" s="1" t="str">
        <f>IF(C114,9.8*F104*LN((C114+U104)/(C114+V104)),"")</f>
        <v/>
      </c>
      <c r="M114" s="1" t="str">
        <f>IF(C114,9.8*F105*LN((C114+U105)/(C114+V105)),"")</f>
        <v/>
      </c>
      <c r="N114" s="1" t="str">
        <f>IF(C114,9.8*F106*LN((C114+U106)/(C114+V106)),"")</f>
        <v/>
      </c>
      <c r="O114" s="1" t="str">
        <f>IF(C114,9.8*F107*LN((C114+U107)/(C114+V107)),"")</f>
        <v/>
      </c>
      <c r="P114" s="15" t="str">
        <f>IF(C114,SUM(K114:O114),"")</f>
        <v/>
      </c>
      <c r="Q114" s="1"/>
      <c r="R114" s="1"/>
      <c r="S114" s="1"/>
      <c r="T114" s="32" t="str">
        <f>IF(OR(F114&lt;1,AND(F114="",G114&lt;1)),"起飞推重比不得小于0，空天飞机除外","")</f>
        <v/>
      </c>
      <c r="U114" s="1"/>
      <c r="V114" s="1"/>
    </row>
    <row r="115" spans="1:22">
      <c r="A115" s="47"/>
      <c r="B115" s="27" t="s">
        <v>31</v>
      </c>
      <c r="C115" s="9"/>
      <c r="D115" s="1" t="str">
        <f>IF(C115,C115+Q103,"")</f>
        <v/>
      </c>
      <c r="E115" s="72" t="str">
        <f t="shared" ref="E115:E117" si="34">IF(C115,C115/D115,"")</f>
        <v/>
      </c>
      <c r="F115" s="14" t="str">
        <f>IF(AND(C115&lt;&gt;"",N101&lt;&gt;""),(M103/F103*E101+M104/F104*D101)/(C115+U103),"")</f>
        <v/>
      </c>
      <c r="G115" s="1" t="str">
        <f>IF(C115,IF(AND(F103&lt;&gt;0,C101&lt;&gt;0),M104,M104/F104*D101)/(C115+U104),"")</f>
        <v/>
      </c>
      <c r="H115" s="1" t="str">
        <f>IF(C115,(M105)/(C115+U105),"")</f>
        <v/>
      </c>
      <c r="I115" s="1" t="str">
        <f>IF(C115,(M106)/(C115+U106),"")</f>
        <v/>
      </c>
      <c r="J115" s="1" t="str">
        <f>IF(C115,(M107)/(C115+U107),"")</f>
        <v/>
      </c>
      <c r="K115" s="14" t="str">
        <f>IF(AND(C115&lt;&gt;"",N101&lt;&gt;""),9.8*N101*LN((C115+U103)/(C115+V103)),"")</f>
        <v/>
      </c>
      <c r="L115" s="1" t="str">
        <f>IF(C115,9.8*F104*LN((C115+U104)/(C115+V104)),"")</f>
        <v/>
      </c>
      <c r="M115" s="1" t="str">
        <f>IF(C115,9.8*F105*LN((C115+U105)/(C115+V105)),"")</f>
        <v/>
      </c>
      <c r="N115" s="1" t="str">
        <f>IF(C115,9.8*F106*LN((C115+U106)/(C115+V106)),"")</f>
        <v/>
      </c>
      <c r="O115" s="1" t="str">
        <f>IF(C115,9.8*F107*LN((C115+U107)/(C115+V107)),"")</f>
        <v/>
      </c>
      <c r="P115" s="15" t="str">
        <f>IF(C115,SUM(K115:O115),"")</f>
        <v/>
      </c>
      <c r="Q115" s="1"/>
      <c r="R115" s="1"/>
      <c r="S115" s="1"/>
      <c r="T115" s="32" t="str">
        <f t="shared" ref="T115:T117" si="35">IF(OR(F115&lt;1,AND(F115="",G115&lt;1)),"起飞推重比不得小于0，空天飞机除外","")</f>
        <v/>
      </c>
      <c r="U115" s="1"/>
      <c r="V115" s="1"/>
    </row>
    <row r="116" spans="1:22">
      <c r="A116" s="47"/>
      <c r="B116" s="27" t="s">
        <v>32</v>
      </c>
      <c r="C116" s="9"/>
      <c r="D116" s="1" t="str">
        <f>IF(C116,C116+Q103,"")</f>
        <v/>
      </c>
      <c r="E116" s="72" t="str">
        <f t="shared" si="34"/>
        <v/>
      </c>
      <c r="F116" s="14" t="str">
        <f>IF(AND(C116&lt;&gt;"",N101&lt;&gt;""),(M103/F103*E101+M104/F104*D101)/(C116+U103),"")</f>
        <v/>
      </c>
      <c r="G116" s="1" t="str">
        <f>IF(C116,IF(AND(F103&lt;&gt;0,C101&lt;&gt;0),M104,M104/F104*D101)/(C116+U104),"")</f>
        <v/>
      </c>
      <c r="H116" s="1" t="str">
        <f>IF(C116,(M105)/(C116+U105),"")</f>
        <v/>
      </c>
      <c r="I116" s="1" t="str">
        <f>IF(C116,(M106)/(C116+U106),"")</f>
        <v/>
      </c>
      <c r="J116" s="1" t="str">
        <f>IF(C116,(M107)/(C116+U107),"")</f>
        <v/>
      </c>
      <c r="K116" s="14" t="str">
        <f>IF(AND(C116&lt;&gt;"",N101&lt;&gt;""),9.8*N101*LN((C116+U103)/(C116+V103)),"")</f>
        <v/>
      </c>
      <c r="L116" s="1" t="str">
        <f>IF(C116,9.8*F104*LN((C116+U104)/(C116+V104)),"")</f>
        <v/>
      </c>
      <c r="M116" s="1" t="str">
        <f>IF(C116,9.8*F105*LN((C116+U105)/(C116+V105)),"")</f>
        <v/>
      </c>
      <c r="N116" s="1" t="str">
        <f>IF(C116,9.8*F106*LN((C116+U106)/(C116+V106)),"")</f>
        <v/>
      </c>
      <c r="O116" s="1" t="str">
        <f>IF(C116,9.8*F107*LN((C116+U107)/(C116+V107)),"")</f>
        <v/>
      </c>
      <c r="P116" s="15" t="str">
        <f>IF(C116,SUM(K116:O116),"")</f>
        <v/>
      </c>
      <c r="Q116" s="1"/>
      <c r="R116" s="1"/>
      <c r="S116" s="1"/>
      <c r="T116" s="32" t="str">
        <f t="shared" si="35"/>
        <v/>
      </c>
      <c r="U116" s="1"/>
      <c r="V116" s="1"/>
    </row>
    <row r="117" spans="1:22" ht="15" thickBot="1">
      <c r="A117" s="48" t="s">
        <v>46</v>
      </c>
      <c r="B117" s="49" t="s">
        <v>33</v>
      </c>
      <c r="C117" s="50"/>
      <c r="D117" s="25" t="str">
        <f>IF(C117,C117+Q103,"")</f>
        <v/>
      </c>
      <c r="E117" s="73" t="str">
        <f t="shared" si="34"/>
        <v/>
      </c>
      <c r="F117" s="70" t="str">
        <f>IF(AND(C117&lt;&gt;"",N101&lt;&gt;""),(M103/F103*E101+M104/F104*D101)/(C117+U103),"")</f>
        <v/>
      </c>
      <c r="G117" s="25" t="str">
        <f>IF(C117,IF(AND(F103&lt;&gt;0,C101&lt;&gt;0),M104,M104/F104*D101)/(C117+U104),"")</f>
        <v/>
      </c>
      <c r="H117" s="25" t="str">
        <f>IF(C117,(M105)/(C117+U105),"")</f>
        <v/>
      </c>
      <c r="I117" s="25" t="str">
        <f>IF(C117,(M106)/(C117+U106),"")</f>
        <v/>
      </c>
      <c r="J117" s="25" t="str">
        <f>IF(C117,(M107)/(C117+U107),"")</f>
        <v/>
      </c>
      <c r="K117" s="70" t="str">
        <f>IF(AND(C117&lt;&gt;"",N101&lt;&gt;""),9.8*N101*LN((C117+U103)/(C117+V103)),"")</f>
        <v/>
      </c>
      <c r="L117" s="25" t="str">
        <f>IF(C117,9.8*F104*LN((C117+U104)/(C117+V104)),"")</f>
        <v/>
      </c>
      <c r="M117" s="25" t="str">
        <f>IF(C117,9.8*F105*LN((C117+U105)/(C117+V105)),"")</f>
        <v/>
      </c>
      <c r="N117" s="25" t="str">
        <f>IF(C117,9.8*F106*LN((C117+U106)/(C117+V106)),"")</f>
        <v/>
      </c>
      <c r="O117" s="25" t="str">
        <f>IF(C117,9.8*F107*LN((C117+U107)/(C117+V107)),"")</f>
        <v/>
      </c>
      <c r="P117" s="71" t="str">
        <f>IF(C117,SUM(K117:O117),"")</f>
        <v/>
      </c>
      <c r="Q117" s="25"/>
      <c r="R117" s="25"/>
      <c r="S117" s="25"/>
      <c r="T117" s="51" t="str">
        <f t="shared" si="35"/>
        <v/>
      </c>
      <c r="U117" s="25"/>
      <c r="V117" s="25"/>
    </row>
    <row r="118" spans="1:22" ht="15" thickBot="1"/>
    <row r="119" spans="1:22" ht="15" thickBot="1">
      <c r="A119" s="52" t="s">
        <v>241</v>
      </c>
      <c r="B119" s="52"/>
      <c r="C119" s="29" t="s">
        <v>0</v>
      </c>
      <c r="D119" s="90" t="s">
        <v>41</v>
      </c>
      <c r="E119" s="90"/>
      <c r="F119" s="43"/>
      <c r="G119" s="43"/>
      <c r="H119" s="43"/>
      <c r="I119" s="86" t="s">
        <v>42</v>
      </c>
      <c r="J119" s="86"/>
      <c r="K119" s="86"/>
      <c r="L119" s="54" t="s">
        <v>70</v>
      </c>
      <c r="M119" s="86" t="s">
        <v>71</v>
      </c>
      <c r="N119" s="86"/>
      <c r="O119" s="87"/>
      <c r="P119" s="29" t="s">
        <v>49</v>
      </c>
      <c r="Q119" s="34" t="str">
        <f>IF(OR(P123&lt;P122,T123&lt;T122),"芯级燃烧时间不得小于助推燃烧时间！","")</f>
        <v/>
      </c>
      <c r="R119" s="44"/>
      <c r="S119" s="45"/>
      <c r="T119" s="29"/>
      <c r="U119" s="46" t="s">
        <v>45</v>
      </c>
      <c r="V119" s="46" t="s">
        <v>48</v>
      </c>
    </row>
    <row r="120" spans="1:22" ht="15" thickBot="1">
      <c r="A120" s="40" t="s">
        <v>250</v>
      </c>
      <c r="B120" s="39"/>
      <c r="C120" s="2">
        <v>4</v>
      </c>
      <c r="D120" s="2">
        <v>311</v>
      </c>
      <c r="E120" s="2">
        <v>311</v>
      </c>
      <c r="F120" s="41"/>
      <c r="G120" s="42"/>
      <c r="H120" s="42"/>
      <c r="I120" s="24" t="s">
        <v>307</v>
      </c>
      <c r="J120" s="24"/>
      <c r="K120" s="24"/>
      <c r="L120" s="55">
        <f>IFERROR(IF(AND(F122&lt;&gt;0,C120&lt;&gt;0),M122/F122*E120+M123/F123*D120,M123/F123*D120),0)</f>
        <v>978.77588757396438</v>
      </c>
      <c r="M120" s="53" t="s">
        <v>45</v>
      </c>
      <c r="N120" s="17">
        <f>IF(AND(F122&lt;&gt;0,C120&lt;&gt;0),(M122+M123)/(M122/F122+M123/F123),"")</f>
        <v>338</v>
      </c>
      <c r="O120" s="56" t="s">
        <v>46</v>
      </c>
      <c r="P120" s="89" t="s">
        <v>17</v>
      </c>
      <c r="Q120" s="89"/>
      <c r="R120" s="91"/>
      <c r="S120" s="88" t="s">
        <v>18</v>
      </c>
      <c r="T120" s="89"/>
      <c r="U120" s="89"/>
      <c r="V120" s="89"/>
    </row>
    <row r="121" spans="1:22" ht="15" thickBot="1">
      <c r="A121" s="33" t="s">
        <v>45</v>
      </c>
      <c r="B121" s="26" t="s">
        <v>39</v>
      </c>
      <c r="C121" s="1" t="s">
        <v>60</v>
      </c>
      <c r="D121" s="1" t="s">
        <v>61</v>
      </c>
      <c r="E121" s="1" t="s">
        <v>62</v>
      </c>
      <c r="F121" s="1" t="s">
        <v>63</v>
      </c>
      <c r="G121" s="1" t="s">
        <v>64</v>
      </c>
      <c r="H121" s="1" t="s">
        <v>65</v>
      </c>
      <c r="I121" s="60" t="s">
        <v>290</v>
      </c>
      <c r="J121" s="24"/>
      <c r="K121" s="24"/>
      <c r="L121" s="11" t="s">
        <v>6</v>
      </c>
      <c r="M121" s="12" t="s">
        <v>69</v>
      </c>
      <c r="N121" s="12" t="s">
        <v>15</v>
      </c>
      <c r="O121" s="13" t="s">
        <v>14</v>
      </c>
      <c r="P121" s="14" t="s">
        <v>12</v>
      </c>
      <c r="Q121" s="1" t="s">
        <v>10</v>
      </c>
      <c r="R121" s="15" t="s">
        <v>11</v>
      </c>
      <c r="S121" s="14" t="s">
        <v>13</v>
      </c>
      <c r="T121" s="1" t="s">
        <v>16</v>
      </c>
      <c r="U121" s="1" t="s">
        <v>10</v>
      </c>
      <c r="V121" s="1" t="s">
        <v>11</v>
      </c>
    </row>
    <row r="122" spans="1:22">
      <c r="A122" s="40"/>
      <c r="B122" s="27" t="s">
        <v>3</v>
      </c>
      <c r="C122" s="3">
        <v>142.4</v>
      </c>
      <c r="D122" s="4">
        <v>14.53</v>
      </c>
      <c r="E122" s="4">
        <v>212.75</v>
      </c>
      <c r="F122" s="4">
        <v>338</v>
      </c>
      <c r="G122" s="19"/>
      <c r="H122" s="20"/>
      <c r="I122" s="24" t="s">
        <v>287</v>
      </c>
      <c r="J122" s="24"/>
      <c r="K122" s="24"/>
      <c r="L122" s="14">
        <f>C122*C120</f>
        <v>569.6</v>
      </c>
      <c r="M122" s="1">
        <f>E122*C120</f>
        <v>851</v>
      </c>
      <c r="N122" s="1">
        <f>IF(D122,L122/D122,0)</f>
        <v>39.201651754989683</v>
      </c>
      <c r="O122" s="15">
        <f>L122-N122</f>
        <v>530.39834824501031</v>
      </c>
      <c r="P122" s="14">
        <f>IF(AND(F122&lt;&gt;0,C120&lt;&gt;0),O122/M122*F122/IF(G122,G122,1),0)</f>
        <v>210.66350376828848</v>
      </c>
      <c r="Q122" s="1">
        <f>SUM(L122:L126)</f>
        <v>751.75</v>
      </c>
      <c r="R122" s="15">
        <f>N122+Q123</f>
        <v>152.53246607019958</v>
      </c>
      <c r="S122" s="14">
        <f>N122+H122*O122</f>
        <v>39.201651754989683</v>
      </c>
      <c r="T122" s="1">
        <f>IF(AND(F122&lt;&gt;0,C120&lt;&gt;0),(1-H122)*O122/M122*F122/IF(G122,G122,1),0)</f>
        <v>210.66350376828848</v>
      </c>
      <c r="U122" s="1">
        <f>SUM(L122:L126)</f>
        <v>751.75</v>
      </c>
      <c r="V122" s="1">
        <f>S122+U123</f>
        <v>152.53246607019958</v>
      </c>
    </row>
    <row r="123" spans="1:22">
      <c r="A123" s="47"/>
      <c r="B123" s="27">
        <v>1</v>
      </c>
      <c r="C123" s="5">
        <v>142.4</v>
      </c>
      <c r="D123" s="1">
        <v>14.53</v>
      </c>
      <c r="E123" s="1">
        <v>212.75</v>
      </c>
      <c r="F123" s="1">
        <v>338</v>
      </c>
      <c r="G123" s="5">
        <v>0.51900000000000002</v>
      </c>
      <c r="H123" s="21"/>
      <c r="I123" s="30" t="s">
        <v>287</v>
      </c>
      <c r="J123" s="30"/>
      <c r="K123" s="30"/>
      <c r="L123" s="14">
        <f>C123</f>
        <v>142.4</v>
      </c>
      <c r="M123" s="1">
        <f>E123</f>
        <v>212.75</v>
      </c>
      <c r="N123" s="1">
        <f>IF(D123,L123/D123,0)</f>
        <v>9.8004129387474208</v>
      </c>
      <c r="O123" s="15">
        <f>L123-N123</f>
        <v>132.59958706125258</v>
      </c>
      <c r="P123" s="14">
        <f t="shared" ref="P123:P126" si="36">IF(F123,O123/M123*F123/IF(G123,G123,1),0)</f>
        <v>405.90270475585447</v>
      </c>
      <c r="Q123" s="1">
        <f>IF(F123,SUM(L123:L126)-P122*M123/F123*IF(G123,G123,1),0)</f>
        <v>113.33081431520991</v>
      </c>
      <c r="R123" s="15">
        <f>N123+Q124</f>
        <v>49.550412938747421</v>
      </c>
      <c r="S123" s="14">
        <f>N123+H123*O123</f>
        <v>9.8004129387474208</v>
      </c>
      <c r="T123" s="1">
        <f>IF(F123,(1-H123)*O123/M123*F123/IF(G123,G123,1),0)</f>
        <v>405.90270475585447</v>
      </c>
      <c r="U123" s="1">
        <f>IF(F123,SUM(L123:L126)-T122*M123/F123*IF(G123,G123,1),0)</f>
        <v>113.33081431520991</v>
      </c>
      <c r="V123" s="1">
        <f>S123+U124</f>
        <v>49.550412938747421</v>
      </c>
    </row>
    <row r="124" spans="1:22">
      <c r="A124" s="47"/>
      <c r="B124" s="27">
        <v>2</v>
      </c>
      <c r="C124" s="5">
        <v>39.75</v>
      </c>
      <c r="D124" s="1">
        <v>10.74</v>
      </c>
      <c r="E124" s="1">
        <v>30</v>
      </c>
      <c r="F124" s="1">
        <v>359</v>
      </c>
      <c r="G124" s="5"/>
      <c r="H124" s="21"/>
      <c r="I124" s="30" t="s">
        <v>288</v>
      </c>
      <c r="J124" s="30"/>
      <c r="K124" s="30"/>
      <c r="L124" s="14">
        <f>C124</f>
        <v>39.75</v>
      </c>
      <c r="M124" s="1">
        <f>E124</f>
        <v>30</v>
      </c>
      <c r="N124" s="1">
        <f>IF(D124,L124/D124,0)</f>
        <v>3.7011173184357542</v>
      </c>
      <c r="O124" s="15">
        <f>L124-N124</f>
        <v>36.048882681564244</v>
      </c>
      <c r="P124" s="14">
        <f t="shared" si="36"/>
        <v>431.38496275605218</v>
      </c>
      <c r="Q124" s="1">
        <f>SUM(L124:L126)</f>
        <v>39.75</v>
      </c>
      <c r="R124" s="15">
        <f>N124+Q125</f>
        <v>3.7011173184357542</v>
      </c>
      <c r="S124" s="14">
        <f>N124+H124*O124</f>
        <v>3.7011173184357542</v>
      </c>
      <c r="T124" s="1">
        <f t="shared" ref="T124:T126" si="37">IF(F124,(1-H124)*O124/M124*F124/IF(G124,G124,1),0)</f>
        <v>431.38496275605218</v>
      </c>
      <c r="U124" s="1">
        <f>SUM(L124:L126)</f>
        <v>39.75</v>
      </c>
      <c r="V124" s="1">
        <f>S124+U125</f>
        <v>3.7011173184357542</v>
      </c>
    </row>
    <row r="125" spans="1:22">
      <c r="A125" s="33" t="s">
        <v>45</v>
      </c>
      <c r="B125" s="27">
        <v>3</v>
      </c>
      <c r="C125" s="5"/>
      <c r="D125" s="1"/>
      <c r="E125" s="1"/>
      <c r="F125" s="1"/>
      <c r="G125" s="5"/>
      <c r="H125" s="21"/>
      <c r="I125" s="30" t="s">
        <v>286</v>
      </c>
      <c r="J125" s="30"/>
      <c r="K125" s="30"/>
      <c r="L125" s="14">
        <f>C125</f>
        <v>0</v>
      </c>
      <c r="M125" s="1">
        <f>E125</f>
        <v>0</v>
      </c>
      <c r="N125" s="1">
        <f>IF(D125,L125/D125,0)</f>
        <v>0</v>
      </c>
      <c r="O125" s="15">
        <f>L125-N125</f>
        <v>0</v>
      </c>
      <c r="P125" s="14">
        <f t="shared" si="36"/>
        <v>0</v>
      </c>
      <c r="Q125" s="1">
        <f>SUM(L125:L126)</f>
        <v>0</v>
      </c>
      <c r="R125" s="15">
        <f>N125+Q126</f>
        <v>0</v>
      </c>
      <c r="S125" s="14">
        <f>N125+H125*O125</f>
        <v>0</v>
      </c>
      <c r="T125" s="1">
        <f t="shared" si="37"/>
        <v>0</v>
      </c>
      <c r="U125" s="1">
        <f>SUM(L125:L126)</f>
        <v>0</v>
      </c>
      <c r="V125" s="1">
        <f>S125+U126</f>
        <v>0</v>
      </c>
    </row>
    <row r="126" spans="1:22" ht="15" thickBot="1">
      <c r="A126" s="40"/>
      <c r="B126" s="28">
        <v>4</v>
      </c>
      <c r="C126" s="6"/>
      <c r="D126" s="7"/>
      <c r="E126" s="7"/>
      <c r="F126" s="7"/>
      <c r="G126" s="22"/>
      <c r="H126" s="23"/>
      <c r="I126" s="60" t="s">
        <v>291</v>
      </c>
      <c r="J126" s="24"/>
      <c r="K126" s="24"/>
      <c r="L126" s="16">
        <f>C126</f>
        <v>0</v>
      </c>
      <c r="M126" s="17">
        <f>E126</f>
        <v>0</v>
      </c>
      <c r="N126" s="17">
        <f>IF(D126,L126/D126,0)</f>
        <v>0</v>
      </c>
      <c r="O126" s="18">
        <f>L126-N126</f>
        <v>0</v>
      </c>
      <c r="P126" s="14">
        <f t="shared" si="36"/>
        <v>0</v>
      </c>
      <c r="Q126" s="17">
        <f>SUM(L126:L126)</f>
        <v>0</v>
      </c>
      <c r="R126" s="18">
        <f>N126</f>
        <v>0</v>
      </c>
      <c r="S126" s="16">
        <f>N126+H126*O126</f>
        <v>0</v>
      </c>
      <c r="T126" s="17">
        <f t="shared" si="37"/>
        <v>0</v>
      </c>
      <c r="U126" s="17">
        <f>SUM(L126:L126)</f>
        <v>0</v>
      </c>
      <c r="V126" s="17">
        <f>S126</f>
        <v>0</v>
      </c>
    </row>
    <row r="127" spans="1:22" ht="15" thickBot="1">
      <c r="A127" s="47"/>
      <c r="B127" s="26" t="s">
        <v>38</v>
      </c>
      <c r="C127" s="1" t="s">
        <v>4</v>
      </c>
      <c r="D127" s="1" t="s">
        <v>28</v>
      </c>
      <c r="E127" s="1" t="s">
        <v>265</v>
      </c>
      <c r="F127" s="69" t="s">
        <v>40</v>
      </c>
      <c r="G127" s="1" t="s">
        <v>29</v>
      </c>
      <c r="H127" s="1" t="s">
        <v>23</v>
      </c>
      <c r="I127" s="12" t="s">
        <v>24</v>
      </c>
      <c r="J127" s="12" t="s">
        <v>25</v>
      </c>
      <c r="K127" s="11" t="s">
        <v>19</v>
      </c>
      <c r="L127" s="12" t="s">
        <v>26</v>
      </c>
      <c r="M127" s="12" t="s">
        <v>20</v>
      </c>
      <c r="N127" s="12" t="s">
        <v>21</v>
      </c>
      <c r="O127" s="12" t="s">
        <v>22</v>
      </c>
      <c r="P127" s="13" t="s">
        <v>27</v>
      </c>
      <c r="Q127" s="85" t="s">
        <v>42</v>
      </c>
      <c r="R127" s="85"/>
      <c r="S127" s="85"/>
      <c r="T127" s="31" t="s">
        <v>50</v>
      </c>
      <c r="U127" s="35" t="s">
        <v>47</v>
      </c>
      <c r="V127" s="36" t="s">
        <v>264</v>
      </c>
    </row>
    <row r="128" spans="1:22">
      <c r="A128" s="47"/>
      <c r="B128" s="27" t="s">
        <v>30</v>
      </c>
      <c r="C128" s="8">
        <v>24.5</v>
      </c>
      <c r="D128" s="1">
        <f>IF(C128,C128+Q122,"")</f>
        <v>776.25</v>
      </c>
      <c r="E128" s="72">
        <f>IF(C128,C128/D128,"")</f>
        <v>3.1561996779388084E-2</v>
      </c>
      <c r="F128" s="14">
        <f>IF(AND(C128&lt;&gt;"",N120&lt;&gt;""),(M122/F122*E120+M123/F123*D120)/(C128+Q122),"")</f>
        <v>1.2609029147490685</v>
      </c>
      <c r="G128" s="1">
        <f>IF(C128,IF(AND(F122&lt;&gt;0,C120&lt;&gt;0),M123,M123/F123*D120)/(C128+Q123),"")</f>
        <v>1.543559044158695</v>
      </c>
      <c r="H128" s="1">
        <f>IF(C128,(M124)/(C128+Q124),"")</f>
        <v>0.46692607003891051</v>
      </c>
      <c r="I128" s="1">
        <f>IF(C128,(M125)/(C128+Q125),"")</f>
        <v>0</v>
      </c>
      <c r="J128" s="1">
        <f>IF(C128,(M126)/(C128+Q126),"")</f>
        <v>0</v>
      </c>
      <c r="K128" s="14">
        <f>IF(AND(C128&lt;&gt;"",N120&lt;&gt;""),9.8*N120*LN((C128+Q122)/(C128+R122)),"")</f>
        <v>4896.1958826341051</v>
      </c>
      <c r="L128" s="1">
        <f>IF(C128,9.8*F123*LN((C128+Q123)/(C128+R123)),"")</f>
        <v>2057.9306299643667</v>
      </c>
      <c r="M128" s="1">
        <f>IF(C128,9.8*F124*LN((C128+Q124)/(C128+R124)),"")</f>
        <v>2896.9566851648124</v>
      </c>
      <c r="N128" s="1">
        <f>IF(C128,9.8*F125*LN((C128+Q125)/(C128+R125)),"")</f>
        <v>0</v>
      </c>
      <c r="O128" s="1">
        <f>IF(C128,9.8*F126*LN((C128+Q126)/(C128+R126)),"")</f>
        <v>0</v>
      </c>
      <c r="P128" s="15">
        <f>IF(C128,SUM(K128:O128),"")</f>
        <v>9851.0831977632843</v>
      </c>
      <c r="Q128" s="1"/>
      <c r="R128" s="1"/>
      <c r="S128" s="1"/>
      <c r="T128" s="32" t="str">
        <f>IF(OR(F128&lt;1,AND(F128="",G128&lt;1)),"起飞推重比不得小于0，空天飞机除外","")</f>
        <v/>
      </c>
      <c r="U128" s="1"/>
      <c r="V128" s="1"/>
    </row>
    <row r="129" spans="1:22">
      <c r="A129" s="33" t="s">
        <v>47</v>
      </c>
      <c r="B129" s="27" t="s">
        <v>31</v>
      </c>
      <c r="C129" s="9"/>
      <c r="D129" s="1" t="str">
        <f>IF(C129,C129+Q122,"")</f>
        <v/>
      </c>
      <c r="E129" s="72" t="str">
        <f t="shared" ref="E129:E131" si="38">IF(C129,C129/D129,"")</f>
        <v/>
      </c>
      <c r="F129" s="14" t="str">
        <f>IF(AND(C129&lt;&gt;"",N120&lt;&gt;""),(M122/F122*E120+M123/F123*D120)/(C129+Q122),"")</f>
        <v/>
      </c>
      <c r="G129" s="1" t="str">
        <f>IF(C129,IF(AND(F122&lt;&gt;0,C120&lt;&gt;0),M123,M123/F123*D120)/(C129+Q123),"")</f>
        <v/>
      </c>
      <c r="H129" s="1" t="str">
        <f>IF(C129,(M124)/(C129+Q124),"")</f>
        <v/>
      </c>
      <c r="I129" s="1" t="str">
        <f>IF(C129,(M125)/(C129+Q125),"")</f>
        <v/>
      </c>
      <c r="J129" s="1" t="str">
        <f>IF(C129,(M126)/(C129+Q126),"")</f>
        <v/>
      </c>
      <c r="K129" s="14" t="str">
        <f>IF(AND(C129&lt;&gt;"",N120&lt;&gt;""),9.8*N120*LN((C129+Q122)/(C129+R122)),"")</f>
        <v/>
      </c>
      <c r="L129" s="1" t="str">
        <f>IF(C129,9.8*F123*LN((C129+Q123)/(C129+R123)),"")</f>
        <v/>
      </c>
      <c r="M129" s="1" t="str">
        <f>IF(C129,9.8*F124*LN((C129+Q124)/(C129+R124)),"")</f>
        <v/>
      </c>
      <c r="N129" s="1" t="str">
        <f>IF(C129,9.8*F125*LN((C129+Q125)/(C129+R125)),"")</f>
        <v/>
      </c>
      <c r="O129" s="1" t="str">
        <f>IF(C129,9.8*F126*LN((C129+Q126)/(C129+R126)),"")</f>
        <v/>
      </c>
      <c r="P129" s="15" t="str">
        <f>IF(C129,SUM(K129:O129),"")</f>
        <v/>
      </c>
      <c r="Q129" s="1"/>
      <c r="R129" s="1"/>
      <c r="S129" s="1"/>
      <c r="T129" s="32" t="str">
        <f t="shared" ref="T129:T131" si="39">IF(OR(F129&lt;1,AND(F129="",G129&lt;1)),"起飞推重比不得小于0，空天飞机除外","")</f>
        <v/>
      </c>
      <c r="U129" s="1"/>
      <c r="V129" s="1"/>
    </row>
    <row r="130" spans="1:22">
      <c r="A130" s="40"/>
      <c r="B130" s="27" t="s">
        <v>36</v>
      </c>
      <c r="C130" s="9"/>
      <c r="D130" s="1" t="str">
        <f>IF(C130,C130+Q122,"")</f>
        <v/>
      </c>
      <c r="E130" s="72" t="str">
        <f t="shared" si="38"/>
        <v/>
      </c>
      <c r="F130" s="14" t="str">
        <f>IF(AND(C130&lt;&gt;"",N120&lt;&gt;""),(M122/F122*E120+M123/F123*D120)/(C130+Q122),"")</f>
        <v/>
      </c>
      <c r="G130" s="1" t="str">
        <f>IF(C130,IF(AND(F122&lt;&gt;0,C120&lt;&gt;0),M123,M123/F123*D120)/(C130+Q123),"")</f>
        <v/>
      </c>
      <c r="H130" s="1" t="str">
        <f>IF(C130,(M124)/(C130+Q124),"")</f>
        <v/>
      </c>
      <c r="I130" s="1" t="str">
        <f>IF(C130,(M125)/(C130+Q125),"")</f>
        <v/>
      </c>
      <c r="J130" s="1" t="str">
        <f>IF(C130,(M126)/(C130+Q126),"")</f>
        <v/>
      </c>
      <c r="K130" s="14" t="str">
        <f>IF(AND(C130&lt;&gt;"",N120&lt;&gt;""),9.8*N120*LN((C130+Q122)/(C130+R122)),"")</f>
        <v/>
      </c>
      <c r="L130" s="1" t="str">
        <f>IF(C130,9.8*F123*LN((C130+Q123)/(C130+R123)),"")</f>
        <v/>
      </c>
      <c r="M130" s="1" t="str">
        <f>IF(C130,9.8*F124*LN((C130+Q124)/(C130+R124)),"")</f>
        <v/>
      </c>
      <c r="N130" s="1" t="str">
        <f>IF(C130,9.8*F125*LN((C130+Q125)/(C130+R125)),"")</f>
        <v/>
      </c>
      <c r="O130" s="1" t="str">
        <f>IF(C130,9.8*F126*LN((C130+Q126)/(C130+R126)),"")</f>
        <v/>
      </c>
      <c r="P130" s="15" t="str">
        <f>IF(C130,SUM(K130:O130),"")</f>
        <v/>
      </c>
      <c r="Q130" s="1"/>
      <c r="R130" s="1"/>
      <c r="S130" s="1"/>
      <c r="T130" s="32" t="str">
        <f t="shared" si="39"/>
        <v/>
      </c>
      <c r="U130" s="1"/>
      <c r="V130" s="1"/>
    </row>
    <row r="131" spans="1:22" ht="15" thickBot="1">
      <c r="A131" s="47"/>
      <c r="B131" s="28" t="s">
        <v>5</v>
      </c>
      <c r="C131" s="10"/>
      <c r="D131" s="1" t="str">
        <f>IF(C131,C131+Q122,"")</f>
        <v/>
      </c>
      <c r="E131" s="72" t="str">
        <f t="shared" si="38"/>
        <v/>
      </c>
      <c r="F131" s="14" t="str">
        <f>IF(AND(C131&lt;&gt;"",N120&lt;&gt;""),(M122/F122*E120+M123/F123*D120)/(C131+Q122),"")</f>
        <v/>
      </c>
      <c r="G131" s="1" t="str">
        <f>IF(C131,IF(AND(F122&lt;&gt;0,C120&lt;&gt;0),M123,M123/F123*D120)/(C131+Q123),"")</f>
        <v/>
      </c>
      <c r="H131" s="1" t="str">
        <f>IF(C131,(M124)/(C131+Q124),"")</f>
        <v/>
      </c>
      <c r="I131" s="1" t="str">
        <f>IF(C131,(M125)/(C131+Q125),"")</f>
        <v/>
      </c>
      <c r="J131" s="1" t="str">
        <f>IF(C131,(M126)/(C131+Q126),"")</f>
        <v/>
      </c>
      <c r="K131" s="14" t="str">
        <f>IF(AND(C131&lt;&gt;"",N120&lt;&gt;""),9.8*N120*LN((C131+Q122)/(C131+R122)),"")</f>
        <v/>
      </c>
      <c r="L131" s="1" t="str">
        <f>IF(C131,9.8*F123*LN((C131+Q123)/(C131+R123)),"")</f>
        <v/>
      </c>
      <c r="M131" s="1" t="str">
        <f>IF(C131,9.8*F124*LN((C131+Q124)/(C131+R124)),"")</f>
        <v/>
      </c>
      <c r="N131" s="1" t="str">
        <f>IF(C131,9.8*F125*LN((C131+Q125)/(C131+R125)),"")</f>
        <v/>
      </c>
      <c r="O131" s="1" t="str">
        <f>IF(C131,9.8*F126*LN((C131+Q126)/(C131+R126)),"")</f>
        <v/>
      </c>
      <c r="P131" s="15" t="str">
        <f>IF(C131,SUM(K131:O131),"")</f>
        <v/>
      </c>
      <c r="Q131" s="17"/>
      <c r="R131" s="17"/>
      <c r="S131" s="17"/>
      <c r="T131" s="32" t="str">
        <f t="shared" si="39"/>
        <v/>
      </c>
      <c r="U131" s="1"/>
      <c r="V131" s="1"/>
    </row>
    <row r="132" spans="1:22" ht="15" thickBot="1">
      <c r="A132" s="33" t="s">
        <v>45</v>
      </c>
      <c r="B132" s="26" t="s">
        <v>37</v>
      </c>
      <c r="C132" s="1" t="s">
        <v>9</v>
      </c>
      <c r="D132" s="12" t="s">
        <v>28</v>
      </c>
      <c r="E132" s="12" t="s">
        <v>266</v>
      </c>
      <c r="F132" s="11" t="s">
        <v>40</v>
      </c>
      <c r="G132" s="12" t="s">
        <v>29</v>
      </c>
      <c r="H132" s="12" t="s">
        <v>23</v>
      </c>
      <c r="I132" s="12" t="s">
        <v>24</v>
      </c>
      <c r="J132" s="12" t="s">
        <v>25</v>
      </c>
      <c r="K132" s="11" t="s">
        <v>19</v>
      </c>
      <c r="L132" s="12" t="s">
        <v>26</v>
      </c>
      <c r="M132" s="12" t="s">
        <v>20</v>
      </c>
      <c r="N132" s="12" t="s">
        <v>21</v>
      </c>
      <c r="O132" s="12" t="s">
        <v>22</v>
      </c>
      <c r="P132" s="13" t="s">
        <v>27</v>
      </c>
      <c r="Q132" s="85" t="s">
        <v>42</v>
      </c>
      <c r="R132" s="85"/>
      <c r="S132" s="85"/>
      <c r="T132" s="12" t="s">
        <v>51</v>
      </c>
      <c r="U132" s="37" t="s">
        <v>45</v>
      </c>
      <c r="V132" s="38" t="s">
        <v>48</v>
      </c>
    </row>
    <row r="133" spans="1:22">
      <c r="A133" s="40"/>
      <c r="B133" s="27" t="s">
        <v>30</v>
      </c>
      <c r="C133" s="8"/>
      <c r="D133" s="1" t="str">
        <f>IF(C133,C133+Q122,"")</f>
        <v/>
      </c>
      <c r="E133" s="72" t="str">
        <f>IF(C133,C133/D133,"")</f>
        <v/>
      </c>
      <c r="F133" s="14" t="str">
        <f>IF(AND(C133&lt;&gt;"",N120&lt;&gt;""),(M122/F122*E120+M123/F123*D120)/(C133+U122),"")</f>
        <v/>
      </c>
      <c r="G133" s="1" t="str">
        <f>IF(C133,IF(AND(F122&lt;&gt;0,C120&lt;&gt;0),M123,M123/F123*D120)/(C133+U123),"")</f>
        <v/>
      </c>
      <c r="H133" s="1" t="str">
        <f>IF(C133,(M124)/(C133+U124),"")</f>
        <v/>
      </c>
      <c r="I133" s="1" t="str">
        <f>IF(C133,(M125)/(C133+U125),"")</f>
        <v/>
      </c>
      <c r="J133" s="1" t="str">
        <f>IF(C133,(M126)/(C133+U126),"")</f>
        <v/>
      </c>
      <c r="K133" s="14" t="str">
        <f>IF(AND(C133&lt;&gt;"",N120&lt;&gt;""),9.8*N120*LN((C133+U122)/(C133+V122)),"")</f>
        <v/>
      </c>
      <c r="L133" s="1" t="str">
        <f>IF(C133,9.8*F123*LN((C133+U123)/(C133+V123)),"")</f>
        <v/>
      </c>
      <c r="M133" s="1" t="str">
        <f>IF(C133,9.8*F124*LN((C133+U124)/(C133+V124)),"")</f>
        <v/>
      </c>
      <c r="N133" s="1" t="str">
        <f>IF(C133,9.8*F125*LN((C133+U125)/(C133+V125)),"")</f>
        <v/>
      </c>
      <c r="O133" s="1" t="str">
        <f>IF(C133,9.8*F126*LN((C133+U126)/(C133+V126)),"")</f>
        <v/>
      </c>
      <c r="P133" s="15" t="str">
        <f>IF(C133,SUM(K133:O133),"")</f>
        <v/>
      </c>
      <c r="Q133" s="1"/>
      <c r="R133" s="1"/>
      <c r="S133" s="1"/>
      <c r="T133" s="32" t="str">
        <f>IF(OR(F133&lt;1,AND(F133="",G133&lt;1)),"起飞推重比不得小于0，空天飞机除外","")</f>
        <v/>
      </c>
      <c r="U133" s="1"/>
      <c r="V133" s="1"/>
    </row>
    <row r="134" spans="1:22">
      <c r="A134" s="47"/>
      <c r="B134" s="27" t="s">
        <v>31</v>
      </c>
      <c r="C134" s="9"/>
      <c r="D134" s="1" t="str">
        <f>IF(C134,C134+Q122,"")</f>
        <v/>
      </c>
      <c r="E134" s="72" t="str">
        <f t="shared" ref="E134:E136" si="40">IF(C134,C134/D134,"")</f>
        <v/>
      </c>
      <c r="F134" s="14" t="str">
        <f>IF(AND(C134&lt;&gt;"",N120&lt;&gt;""),(M122/F122*E120+M123/F123*D120)/(C134+U122),"")</f>
        <v/>
      </c>
      <c r="G134" s="1" t="str">
        <f>IF(C134,IF(AND(F122&lt;&gt;0,C120&lt;&gt;0),M123,M123/F123*D120)/(C134+U123),"")</f>
        <v/>
      </c>
      <c r="H134" s="1" t="str">
        <f>IF(C134,(M124)/(C134+U124),"")</f>
        <v/>
      </c>
      <c r="I134" s="1" t="str">
        <f>IF(C134,(M125)/(C134+U125),"")</f>
        <v/>
      </c>
      <c r="J134" s="1" t="str">
        <f>IF(C134,(M126)/(C134+U126),"")</f>
        <v/>
      </c>
      <c r="K134" s="14" t="str">
        <f>IF(AND(C134&lt;&gt;"",N120&lt;&gt;""),9.8*N120*LN((C134+U122)/(C134+V122)),"")</f>
        <v/>
      </c>
      <c r="L134" s="1" t="str">
        <f>IF(C134,9.8*F123*LN((C134+U123)/(C134+V123)),"")</f>
        <v/>
      </c>
      <c r="M134" s="1" t="str">
        <f>IF(C134,9.8*F124*LN((C134+U124)/(C134+V124)),"")</f>
        <v/>
      </c>
      <c r="N134" s="1" t="str">
        <f>IF(C134,9.8*F125*LN((C134+U125)/(C134+V125)),"")</f>
        <v/>
      </c>
      <c r="O134" s="1" t="str">
        <f>IF(C134,9.8*F126*LN((C134+U126)/(C134+V126)),"")</f>
        <v/>
      </c>
      <c r="P134" s="15" t="str">
        <f>IF(C134,SUM(K134:O134),"")</f>
        <v/>
      </c>
      <c r="Q134" s="1"/>
      <c r="R134" s="1"/>
      <c r="S134" s="1"/>
      <c r="T134" s="32" t="str">
        <f t="shared" ref="T134:T136" si="41">IF(OR(F134&lt;1,AND(F134="",G134&lt;1)),"起飞推重比不得小于0，空天飞机除外","")</f>
        <v/>
      </c>
      <c r="U134" s="1"/>
      <c r="V134" s="1"/>
    </row>
    <row r="135" spans="1:22">
      <c r="A135" s="47"/>
      <c r="B135" s="27" t="s">
        <v>32</v>
      </c>
      <c r="C135" s="9"/>
      <c r="D135" s="1" t="str">
        <f>IF(C135,C135+Q122,"")</f>
        <v/>
      </c>
      <c r="E135" s="72" t="str">
        <f t="shared" si="40"/>
        <v/>
      </c>
      <c r="F135" s="14" t="str">
        <f>IF(AND(C135&lt;&gt;"",N120&lt;&gt;""),(M122/F122*E120+M123/F123*D120)/(C135+U122),"")</f>
        <v/>
      </c>
      <c r="G135" s="1" t="str">
        <f>IF(C135,IF(AND(F122&lt;&gt;0,C120&lt;&gt;0),M123,M123/F123*D120)/(C135+U123),"")</f>
        <v/>
      </c>
      <c r="H135" s="1" t="str">
        <f>IF(C135,(M124)/(C135+U124),"")</f>
        <v/>
      </c>
      <c r="I135" s="1" t="str">
        <f>IF(C135,(M125)/(C135+U125),"")</f>
        <v/>
      </c>
      <c r="J135" s="1" t="str">
        <f>IF(C135,(M126)/(C135+U126),"")</f>
        <v/>
      </c>
      <c r="K135" s="14" t="str">
        <f>IF(AND(C135&lt;&gt;"",N120&lt;&gt;""),9.8*N120*LN((C135+U122)/(C135+V122)),"")</f>
        <v/>
      </c>
      <c r="L135" s="1" t="str">
        <f>IF(C135,9.8*F123*LN((C135+U123)/(C135+V123)),"")</f>
        <v/>
      </c>
      <c r="M135" s="1" t="str">
        <f>IF(C135,9.8*F124*LN((C135+U124)/(C135+V124)),"")</f>
        <v/>
      </c>
      <c r="N135" s="1" t="str">
        <f>IF(C135,9.8*F125*LN((C135+U125)/(C135+V125)),"")</f>
        <v/>
      </c>
      <c r="O135" s="1" t="str">
        <f>IF(C135,9.8*F126*LN((C135+U126)/(C135+V126)),"")</f>
        <v/>
      </c>
      <c r="P135" s="15" t="str">
        <f>IF(C135,SUM(K135:O135),"")</f>
        <v/>
      </c>
      <c r="Q135" s="1"/>
      <c r="R135" s="1"/>
      <c r="S135" s="1"/>
      <c r="T135" s="32" t="str">
        <f t="shared" si="41"/>
        <v/>
      </c>
      <c r="U135" s="1"/>
      <c r="V135" s="1"/>
    </row>
    <row r="136" spans="1:22" ht="15" thickBot="1">
      <c r="A136" s="48" t="s">
        <v>46</v>
      </c>
      <c r="B136" s="49" t="s">
        <v>33</v>
      </c>
      <c r="C136" s="50"/>
      <c r="D136" s="25" t="str">
        <f>IF(C136,C136+Q122,"")</f>
        <v/>
      </c>
      <c r="E136" s="73" t="str">
        <f t="shared" si="40"/>
        <v/>
      </c>
      <c r="F136" s="70" t="str">
        <f>IF(AND(C136&lt;&gt;"",N120&lt;&gt;""),(M122/F122*E120+M123/F123*D120)/(C136+U122),"")</f>
        <v/>
      </c>
      <c r="G136" s="25" t="str">
        <f>IF(C136,IF(AND(F122&lt;&gt;0,C120&lt;&gt;0),M123,M123/F123*D120)/(C136+U123),"")</f>
        <v/>
      </c>
      <c r="H136" s="25" t="str">
        <f>IF(C136,(M124)/(C136+U124),"")</f>
        <v/>
      </c>
      <c r="I136" s="25" t="str">
        <f>IF(C136,(M125)/(C136+U125),"")</f>
        <v/>
      </c>
      <c r="J136" s="25" t="str">
        <f>IF(C136,(M126)/(C136+U126),"")</f>
        <v/>
      </c>
      <c r="K136" s="70" t="str">
        <f>IF(AND(C136&lt;&gt;"",N120&lt;&gt;""),9.8*N120*LN((C136+U122)/(C136+V122)),"")</f>
        <v/>
      </c>
      <c r="L136" s="25" t="str">
        <f>IF(C136,9.8*F123*LN((C136+U123)/(C136+V123)),"")</f>
        <v/>
      </c>
      <c r="M136" s="25" t="str">
        <f>IF(C136,9.8*F124*LN((C136+U124)/(C136+V124)),"")</f>
        <v/>
      </c>
      <c r="N136" s="25" t="str">
        <f>IF(C136,9.8*F125*LN((C136+U125)/(C136+V125)),"")</f>
        <v/>
      </c>
      <c r="O136" s="25" t="str">
        <f>IF(C136,9.8*F126*LN((C136+U126)/(C136+V126)),"")</f>
        <v/>
      </c>
      <c r="P136" s="71" t="str">
        <f>IF(C136,SUM(K136:O136),"")</f>
        <v/>
      </c>
      <c r="Q136" s="25"/>
      <c r="R136" s="25"/>
      <c r="S136" s="25"/>
      <c r="T136" s="51" t="str">
        <f t="shared" si="41"/>
        <v/>
      </c>
      <c r="U136" s="25"/>
      <c r="V136" s="25"/>
    </row>
    <row r="137" spans="1:22" ht="15" thickBot="1"/>
    <row r="138" spans="1:22" ht="15" thickBot="1">
      <c r="A138" s="52" t="s">
        <v>242</v>
      </c>
      <c r="B138" s="52"/>
      <c r="C138" s="29" t="s">
        <v>0</v>
      </c>
      <c r="D138" s="90" t="s">
        <v>41</v>
      </c>
      <c r="E138" s="90"/>
      <c r="F138" s="43"/>
      <c r="G138" s="43"/>
      <c r="H138" s="43"/>
      <c r="I138" s="86" t="s">
        <v>42</v>
      </c>
      <c r="J138" s="86"/>
      <c r="K138" s="86"/>
      <c r="L138" s="54" t="s">
        <v>70</v>
      </c>
      <c r="M138" s="86" t="s">
        <v>71</v>
      </c>
      <c r="N138" s="86"/>
      <c r="O138" s="87"/>
      <c r="P138" s="29" t="s">
        <v>49</v>
      </c>
      <c r="Q138" s="34" t="str">
        <f>IF(OR(P142&lt;P141,T142&lt;T141),"芯级燃烧时间不得小于助推燃烧时间！","")</f>
        <v/>
      </c>
      <c r="R138" s="44"/>
      <c r="S138" s="45"/>
      <c r="T138" s="29"/>
      <c r="U138" s="46" t="s">
        <v>45</v>
      </c>
      <c r="V138" s="46" t="s">
        <v>48</v>
      </c>
    </row>
    <row r="139" spans="1:22" ht="15" thickBot="1">
      <c r="A139" s="40" t="s">
        <v>251</v>
      </c>
      <c r="B139" s="39"/>
      <c r="C139" s="2">
        <v>4</v>
      </c>
      <c r="D139" s="2">
        <v>311</v>
      </c>
      <c r="E139" s="2">
        <v>311</v>
      </c>
      <c r="F139" s="41"/>
      <c r="G139" s="42"/>
      <c r="H139" s="42"/>
      <c r="I139" s="24" t="s">
        <v>303</v>
      </c>
      <c r="J139" s="24"/>
      <c r="K139" s="24"/>
      <c r="L139" s="55">
        <f>IFERROR(IF(AND(F141&lt;&gt;0,C139&lt;&gt;0),M141/F141*E139+M142/F142*D139,M142/F142*D139),0)</f>
        <v>978.77588757396438</v>
      </c>
      <c r="M139" s="53" t="s">
        <v>45</v>
      </c>
      <c r="N139" s="17">
        <f>IF(AND(F141&lt;&gt;0,C139&lt;&gt;0),(M141+M142)/(M141/F141+M142/F142),"")</f>
        <v>338</v>
      </c>
      <c r="O139" s="56" t="s">
        <v>46</v>
      </c>
      <c r="P139" s="89" t="s">
        <v>17</v>
      </c>
      <c r="Q139" s="89"/>
      <c r="R139" s="91"/>
      <c r="S139" s="88" t="s">
        <v>18</v>
      </c>
      <c r="T139" s="89"/>
      <c r="U139" s="89"/>
      <c r="V139" s="89"/>
    </row>
    <row r="140" spans="1:22" ht="15" thickBot="1">
      <c r="A140" s="33" t="s">
        <v>45</v>
      </c>
      <c r="B140" s="26" t="s">
        <v>39</v>
      </c>
      <c r="C140" s="1" t="s">
        <v>60</v>
      </c>
      <c r="D140" s="1" t="s">
        <v>61</v>
      </c>
      <c r="E140" s="1" t="s">
        <v>62</v>
      </c>
      <c r="F140" s="1" t="s">
        <v>63</v>
      </c>
      <c r="G140" s="1" t="s">
        <v>64</v>
      </c>
      <c r="H140" s="1" t="s">
        <v>65</v>
      </c>
      <c r="I140" s="60" t="s">
        <v>290</v>
      </c>
      <c r="J140" s="24"/>
      <c r="K140" s="24"/>
      <c r="L140" s="11" t="s">
        <v>6</v>
      </c>
      <c r="M140" s="12" t="s">
        <v>69</v>
      </c>
      <c r="N140" s="12" t="s">
        <v>15</v>
      </c>
      <c r="O140" s="13" t="s">
        <v>14</v>
      </c>
      <c r="P140" s="14" t="s">
        <v>12</v>
      </c>
      <c r="Q140" s="1" t="s">
        <v>10</v>
      </c>
      <c r="R140" s="15" t="s">
        <v>11</v>
      </c>
      <c r="S140" s="14" t="s">
        <v>13</v>
      </c>
      <c r="T140" s="1" t="s">
        <v>16</v>
      </c>
      <c r="U140" s="1" t="s">
        <v>10</v>
      </c>
      <c r="V140" s="1" t="s">
        <v>11</v>
      </c>
    </row>
    <row r="141" spans="1:22">
      <c r="A141" s="40"/>
      <c r="B141" s="27" t="s">
        <v>3</v>
      </c>
      <c r="C141" s="3">
        <v>142.4</v>
      </c>
      <c r="D141" s="4">
        <v>14.53</v>
      </c>
      <c r="E141" s="4">
        <v>212.75</v>
      </c>
      <c r="F141" s="4">
        <v>338</v>
      </c>
      <c r="G141" s="19"/>
      <c r="H141" s="20"/>
      <c r="I141" s="24" t="s">
        <v>287</v>
      </c>
      <c r="J141" s="24"/>
      <c r="K141" s="24"/>
      <c r="L141" s="14">
        <f>C141*C139</f>
        <v>569.6</v>
      </c>
      <c r="M141" s="1">
        <f>E141*C139</f>
        <v>851</v>
      </c>
      <c r="N141" s="1">
        <f>IF(D141,L141/D141,0)</f>
        <v>39.201651754989683</v>
      </c>
      <c r="O141" s="15">
        <f>L141-N141</f>
        <v>530.39834824501031</v>
      </c>
      <c r="P141" s="14">
        <f>IF(AND(F141&lt;&gt;0,C139&lt;&gt;0),O141/M141*F141/IF(G141,G141,1),0)</f>
        <v>210.66350376828848</v>
      </c>
      <c r="Q141" s="1">
        <f>SUM(L141:L145)</f>
        <v>773.92</v>
      </c>
      <c r="R141" s="15">
        <f>N141+Q142</f>
        <v>174.70246607019956</v>
      </c>
      <c r="S141" s="14">
        <f>N141+H141*O141</f>
        <v>39.201651754989683</v>
      </c>
      <c r="T141" s="1">
        <f>IF(AND(F141&lt;&gt;0,C139&lt;&gt;0),(1-H141)*O141/M141*F141/IF(G141,G141,1),0)</f>
        <v>210.66350376828848</v>
      </c>
      <c r="U141" s="1">
        <f>SUM(L141:L145)</f>
        <v>773.92</v>
      </c>
      <c r="V141" s="1">
        <f>S141+U142</f>
        <v>174.70246607019956</v>
      </c>
    </row>
    <row r="142" spans="1:22">
      <c r="A142" s="47"/>
      <c r="B142" s="27">
        <v>1</v>
      </c>
      <c r="C142" s="5">
        <v>142.4</v>
      </c>
      <c r="D142" s="1">
        <v>14.53</v>
      </c>
      <c r="E142" s="1">
        <v>212.75</v>
      </c>
      <c r="F142" s="1">
        <v>338</v>
      </c>
      <c r="G142" s="5">
        <v>0.51900000000000002</v>
      </c>
      <c r="H142" s="21"/>
      <c r="I142" s="30" t="s">
        <v>287</v>
      </c>
      <c r="J142" s="30"/>
      <c r="K142" s="30"/>
      <c r="L142" s="14">
        <f>C142</f>
        <v>142.4</v>
      </c>
      <c r="M142" s="1">
        <f>E142</f>
        <v>212.75</v>
      </c>
      <c r="N142" s="1">
        <f>IF(D142,L142/D142,0)</f>
        <v>9.8004129387474208</v>
      </c>
      <c r="O142" s="15">
        <f>L142-N142</f>
        <v>132.59958706125258</v>
      </c>
      <c r="P142" s="14">
        <f t="shared" ref="P142:P145" si="42">IF(F142,O142/M142*F142/IF(G142,G142,1),0)</f>
        <v>405.90270475585447</v>
      </c>
      <c r="Q142" s="1">
        <f>IF(F142,SUM(L142:L145)-P141*M142/F142*IF(G142,G142,1),0)</f>
        <v>135.50081431520988</v>
      </c>
      <c r="R142" s="15">
        <f>N142+Q143</f>
        <v>71.720412938747415</v>
      </c>
      <c r="S142" s="14">
        <f>N142+H142*O142</f>
        <v>9.8004129387474208</v>
      </c>
      <c r="T142" s="1">
        <f>IF(F142,(1-H142)*O142/M142*F142/IF(G142,G142,1),0)</f>
        <v>405.90270475585447</v>
      </c>
      <c r="U142" s="1">
        <f>IF(F142,SUM(L142:L145)-T141*M142/F142*IF(G142,G142,1),0)</f>
        <v>135.50081431520988</v>
      </c>
      <c r="V142" s="1">
        <f>S142+U143</f>
        <v>71.720412938747415</v>
      </c>
    </row>
    <row r="143" spans="1:22">
      <c r="A143" s="47"/>
      <c r="B143" s="27">
        <v>2</v>
      </c>
      <c r="C143" s="5">
        <v>39.75</v>
      </c>
      <c r="D143" s="1">
        <v>10.74</v>
      </c>
      <c r="E143" s="1">
        <v>30</v>
      </c>
      <c r="F143" s="1">
        <v>359</v>
      </c>
      <c r="G143" s="5"/>
      <c r="H143" s="21"/>
      <c r="I143" s="30" t="s">
        <v>288</v>
      </c>
      <c r="J143" s="30"/>
      <c r="K143" s="30"/>
      <c r="L143" s="14">
        <f>C143</f>
        <v>39.75</v>
      </c>
      <c r="M143" s="1">
        <f>E143</f>
        <v>30</v>
      </c>
      <c r="N143" s="1">
        <f>IF(D143,L143/D143,0)</f>
        <v>3.7011173184357542</v>
      </c>
      <c r="O143" s="15">
        <f>L143-N143</f>
        <v>36.048882681564244</v>
      </c>
      <c r="P143" s="14">
        <f t="shared" si="42"/>
        <v>431.38496275605218</v>
      </c>
      <c r="Q143" s="1">
        <f>SUM(L143:L145)</f>
        <v>61.92</v>
      </c>
      <c r="R143" s="15">
        <f>N143+Q144</f>
        <v>25.871117318435758</v>
      </c>
      <c r="S143" s="14">
        <f>N143+H143*O143</f>
        <v>3.7011173184357542</v>
      </c>
      <c r="T143" s="1">
        <f t="shared" ref="T143:T145" si="43">IF(F143,(1-H143)*O143/M143*F143/IF(G143,G143,1),0)</f>
        <v>431.38496275605218</v>
      </c>
      <c r="U143" s="1">
        <f>SUM(L143:L145)</f>
        <v>61.92</v>
      </c>
      <c r="V143" s="1">
        <f>S143+U144</f>
        <v>25.871117318435758</v>
      </c>
    </row>
    <row r="144" spans="1:22">
      <c r="A144" s="33" t="s">
        <v>45</v>
      </c>
      <c r="B144" s="27">
        <v>3</v>
      </c>
      <c r="C144" s="5">
        <v>22.17</v>
      </c>
      <c r="D144" s="1">
        <v>9.3539999999999992</v>
      </c>
      <c r="E144" s="1">
        <v>2</v>
      </c>
      <c r="F144" s="1">
        <v>328</v>
      </c>
      <c r="G144" s="5"/>
      <c r="H144" s="21"/>
      <c r="I144" s="30" t="s">
        <v>284</v>
      </c>
      <c r="J144" s="30"/>
      <c r="K144" s="30"/>
      <c r="L144" s="14">
        <f>C144</f>
        <v>22.17</v>
      </c>
      <c r="M144" s="1">
        <f>E144</f>
        <v>2</v>
      </c>
      <c r="N144" s="1">
        <f>IF(D144,L144/D144,0)</f>
        <v>2.370109044259141</v>
      </c>
      <c r="O144" s="15">
        <f>L144-N144</f>
        <v>19.79989095574086</v>
      </c>
      <c r="P144" s="14">
        <f t="shared" si="42"/>
        <v>3247.182116741501</v>
      </c>
      <c r="Q144" s="1">
        <f>SUM(L144:L145)</f>
        <v>22.17</v>
      </c>
      <c r="R144" s="15">
        <f>N144+Q145</f>
        <v>2.370109044259141</v>
      </c>
      <c r="S144" s="14">
        <f>N144+H144*O144</f>
        <v>2.370109044259141</v>
      </c>
      <c r="T144" s="1">
        <f t="shared" si="43"/>
        <v>3247.182116741501</v>
      </c>
      <c r="U144" s="1">
        <f>SUM(L144:L145)</f>
        <v>22.17</v>
      </c>
      <c r="V144" s="1">
        <f>S144+U145</f>
        <v>2.370109044259141</v>
      </c>
    </row>
    <row r="145" spans="1:22" ht="15" thickBot="1">
      <c r="A145" s="40"/>
      <c r="B145" s="28">
        <v>4</v>
      </c>
      <c r="C145" s="6"/>
      <c r="D145" s="7"/>
      <c r="E145" s="7"/>
      <c r="F145" s="7"/>
      <c r="G145" s="22"/>
      <c r="H145" s="23"/>
      <c r="I145" s="60" t="s">
        <v>291</v>
      </c>
      <c r="J145" s="24"/>
      <c r="K145" s="24"/>
      <c r="L145" s="16">
        <f>C145</f>
        <v>0</v>
      </c>
      <c r="M145" s="17">
        <f>E145</f>
        <v>0</v>
      </c>
      <c r="N145" s="17">
        <f>IF(D145,L145/D145,0)</f>
        <v>0</v>
      </c>
      <c r="O145" s="18">
        <f>L145-N145</f>
        <v>0</v>
      </c>
      <c r="P145" s="14">
        <f t="shared" si="42"/>
        <v>0</v>
      </c>
      <c r="Q145" s="17">
        <f>SUM(L145:L145)</f>
        <v>0</v>
      </c>
      <c r="R145" s="18">
        <f>N145</f>
        <v>0</v>
      </c>
      <c r="S145" s="16">
        <f>N145+H145*O145</f>
        <v>0</v>
      </c>
      <c r="T145" s="17">
        <f t="shared" si="43"/>
        <v>0</v>
      </c>
      <c r="U145" s="17">
        <f>SUM(L145:L145)</f>
        <v>0</v>
      </c>
      <c r="V145" s="17">
        <f>S145</f>
        <v>0</v>
      </c>
    </row>
    <row r="146" spans="1:22" ht="15" thickBot="1">
      <c r="A146" s="47"/>
      <c r="B146" s="26" t="s">
        <v>38</v>
      </c>
      <c r="C146" s="1" t="s">
        <v>4</v>
      </c>
      <c r="D146" s="1" t="s">
        <v>28</v>
      </c>
      <c r="E146" s="1" t="s">
        <v>265</v>
      </c>
      <c r="F146" s="69" t="s">
        <v>40</v>
      </c>
      <c r="G146" s="1" t="s">
        <v>29</v>
      </c>
      <c r="H146" s="1" t="s">
        <v>23</v>
      </c>
      <c r="I146" s="12" t="s">
        <v>24</v>
      </c>
      <c r="J146" s="12" t="s">
        <v>25</v>
      </c>
      <c r="K146" s="11" t="s">
        <v>19</v>
      </c>
      <c r="L146" s="12" t="s">
        <v>26</v>
      </c>
      <c r="M146" s="12" t="s">
        <v>20</v>
      </c>
      <c r="N146" s="12" t="s">
        <v>21</v>
      </c>
      <c r="O146" s="12" t="s">
        <v>22</v>
      </c>
      <c r="P146" s="13" t="s">
        <v>27</v>
      </c>
      <c r="Q146" s="85" t="s">
        <v>42</v>
      </c>
      <c r="R146" s="85"/>
      <c r="S146" s="85"/>
      <c r="T146" s="31" t="s">
        <v>50</v>
      </c>
      <c r="U146" s="35" t="s">
        <v>47</v>
      </c>
      <c r="V146" s="36" t="s">
        <v>264</v>
      </c>
    </row>
    <row r="147" spans="1:22">
      <c r="A147" s="47"/>
      <c r="B147" s="27" t="s">
        <v>30</v>
      </c>
      <c r="C147" s="8"/>
      <c r="D147" s="1" t="str">
        <f>IF(C147,C147+Q141,"")</f>
        <v/>
      </c>
      <c r="E147" s="72" t="str">
        <f>IF(C147,C147/D147,"")</f>
        <v/>
      </c>
      <c r="F147" s="14" t="str">
        <f>IF(AND(C147&lt;&gt;"",N139&lt;&gt;""),(M141/F141*E139+M142/F142*D139)/(C147+Q141),"")</f>
        <v/>
      </c>
      <c r="G147" s="1" t="str">
        <f>IF(C147,IF(AND(F141&lt;&gt;0,C139&lt;&gt;0),M142,M142/F142*D139)/(C147+Q142),"")</f>
        <v/>
      </c>
      <c r="H147" s="1" t="str">
        <f>IF(C147,(M143)/(C147+Q143),"")</f>
        <v/>
      </c>
      <c r="I147" s="1" t="str">
        <f>IF(C147,(M144)/(C147+Q144),"")</f>
        <v/>
      </c>
      <c r="J147" s="1" t="str">
        <f>IF(C147,(M145)/(C147+Q145),"")</f>
        <v/>
      </c>
      <c r="K147" s="14" t="str">
        <f>IF(AND(C147&lt;&gt;"",N139&lt;&gt;""),9.8*N139*LN((C147+Q141)/(C147+R141)),"")</f>
        <v/>
      </c>
      <c r="L147" s="1" t="str">
        <f>IF(C147,9.8*F142*LN((C147+Q142)/(C147+R142)),"")</f>
        <v/>
      </c>
      <c r="M147" s="1" t="str">
        <f>IF(C147,9.8*F143*LN((C147+Q143)/(C147+R143)),"")</f>
        <v/>
      </c>
      <c r="N147" s="1" t="str">
        <f>IF(C147,9.8*F144*LN((C147+Q144)/(C147+R144)),"")</f>
        <v/>
      </c>
      <c r="O147" s="1" t="str">
        <f>IF(C147,9.8*F145*LN((C147+Q145)/(C147+R145)),"")</f>
        <v/>
      </c>
      <c r="P147" s="15" t="str">
        <f>IF(C147,SUM(K147:O147),"")</f>
        <v/>
      </c>
      <c r="Q147" s="1"/>
      <c r="R147" s="1"/>
      <c r="S147" s="1"/>
      <c r="T147" s="32" t="str">
        <f>IF(OR(F147&lt;1,AND(F147="",G147&lt;1)),"起飞推重比不得小于0，空天飞机除外","")</f>
        <v/>
      </c>
      <c r="U147" s="1"/>
      <c r="V147" s="1"/>
    </row>
    <row r="148" spans="1:22">
      <c r="A148" s="33" t="s">
        <v>47</v>
      </c>
      <c r="B148" s="27" t="s">
        <v>31</v>
      </c>
      <c r="C148" s="9">
        <v>6.11</v>
      </c>
      <c r="D148" s="1">
        <f>IF(C148,C148+Q141,"")</f>
        <v>780.03</v>
      </c>
      <c r="E148" s="72">
        <f t="shared" ref="E148:E150" si="44">IF(C148,C148/D148,"")</f>
        <v>7.8330320628693783E-3</v>
      </c>
      <c r="F148" s="14">
        <f>IF(AND(C148&lt;&gt;"",N139&lt;&gt;""),(M141/F141*E139+M142/F142*D139)/(C148+Q141),"")</f>
        <v>1.2547926202504576</v>
      </c>
      <c r="G148" s="1">
        <f>IF(C148,IF(AND(F141&lt;&gt;0,C139&lt;&gt;0),M142,M142/F142*D139)/(C148+Q142),"")</f>
        <v>1.5023570129781345</v>
      </c>
      <c r="H148" s="1">
        <f>IF(C148,(M143)/(C148+Q143),"")</f>
        <v>0.44098191974129058</v>
      </c>
      <c r="I148" s="1">
        <f>IF(C148,(M144)/(C148+Q144),"")</f>
        <v>7.0721357850070721E-2</v>
      </c>
      <c r="J148" s="1">
        <f>IF(C148,(M145)/(C148+Q145),"")</f>
        <v>0</v>
      </c>
      <c r="K148" s="14">
        <f>IF(AND(C148&lt;&gt;"",N139&lt;&gt;""),9.8*N139*LN((C148+Q141)/(C148+R141)),"")</f>
        <v>4842.304764432296</v>
      </c>
      <c r="L148" s="1">
        <f>IF(C148,9.8*F142*LN((C148+Q142)/(C148+R142)),"")</f>
        <v>1982.6379607833342</v>
      </c>
      <c r="M148" s="1">
        <f>IF(C148,9.8*F143*LN((C148+Q143)/(C148+R143)),"")</f>
        <v>2655.5484054736517</v>
      </c>
      <c r="N148" s="1">
        <f>IF(C148,9.8*F144*LN((C148+Q144)/(C148+R144)),"")</f>
        <v>3871.52471747145</v>
      </c>
      <c r="O148" s="1">
        <f>IF(C148,9.8*F145*LN((C148+Q145)/(C148+R145)),"")</f>
        <v>0</v>
      </c>
      <c r="P148" s="15">
        <f>IF(C148,SUM(K148:O148),"")</f>
        <v>13352.015848160732</v>
      </c>
      <c r="Q148" s="1" t="s">
        <v>289</v>
      </c>
      <c r="R148" s="1"/>
      <c r="S148" s="1"/>
      <c r="T148" s="32" t="str">
        <f t="shared" ref="T148:T150" si="45">IF(OR(F148&lt;1,AND(F148="",G148&lt;1)),"起飞推重比不得小于0，空天飞机除外","")</f>
        <v/>
      </c>
      <c r="U148" s="1"/>
      <c r="V148" s="1"/>
    </row>
    <row r="149" spans="1:22">
      <c r="A149" s="40"/>
      <c r="B149" s="27" t="s">
        <v>36</v>
      </c>
      <c r="C149" s="9"/>
      <c r="D149" s="1" t="str">
        <f>IF(C149,C149+Q141,"")</f>
        <v/>
      </c>
      <c r="E149" s="72" t="str">
        <f t="shared" si="44"/>
        <v/>
      </c>
      <c r="F149" s="14" t="str">
        <f>IF(AND(C149&lt;&gt;"",N139&lt;&gt;""),(M141/F141*E139+M142/F142*D139)/(C149+Q141),"")</f>
        <v/>
      </c>
      <c r="G149" s="1" t="str">
        <f>IF(C149,IF(AND(F141&lt;&gt;0,C139&lt;&gt;0),M142,M142/F142*D139)/(C149+Q142),"")</f>
        <v/>
      </c>
      <c r="H149" s="1" t="str">
        <f>IF(C149,(M143)/(C149+Q143),"")</f>
        <v/>
      </c>
      <c r="I149" s="1" t="str">
        <f>IF(C149,(M144)/(C149+Q144),"")</f>
        <v/>
      </c>
      <c r="J149" s="1" t="str">
        <f>IF(C149,(M145)/(C149+Q145),"")</f>
        <v/>
      </c>
      <c r="K149" s="14" t="str">
        <f>IF(AND(C149&lt;&gt;"",N139&lt;&gt;""),9.8*N139*LN((C149+Q141)/(C149+R141)),"")</f>
        <v/>
      </c>
      <c r="L149" s="1" t="str">
        <f>IF(C149,9.8*F142*LN((C149+Q142)/(C149+R142)),"")</f>
        <v/>
      </c>
      <c r="M149" s="1" t="str">
        <f>IF(C149,9.8*F143*LN((C149+Q143)/(C149+R143)),"")</f>
        <v/>
      </c>
      <c r="N149" s="1" t="str">
        <f>IF(C149,9.8*F144*LN((C149+Q144)/(C149+R144)),"")</f>
        <v/>
      </c>
      <c r="O149" s="1" t="str">
        <f>IF(C149,9.8*F145*LN((C149+Q145)/(C149+R145)),"")</f>
        <v/>
      </c>
      <c r="P149" s="15" t="str">
        <f>IF(C149,SUM(K149:O149),"")</f>
        <v/>
      </c>
      <c r="Q149" s="1"/>
      <c r="R149" s="1"/>
      <c r="S149" s="1"/>
      <c r="T149" s="32" t="str">
        <f t="shared" si="45"/>
        <v/>
      </c>
      <c r="U149" s="1"/>
      <c r="V149" s="1"/>
    </row>
    <row r="150" spans="1:22" ht="15" thickBot="1">
      <c r="A150" s="47"/>
      <c r="B150" s="28" t="s">
        <v>5</v>
      </c>
      <c r="C150" s="10"/>
      <c r="D150" s="1" t="str">
        <f>IF(C150,C150+Q141,"")</f>
        <v/>
      </c>
      <c r="E150" s="72" t="str">
        <f t="shared" si="44"/>
        <v/>
      </c>
      <c r="F150" s="14" t="str">
        <f>IF(AND(C150&lt;&gt;"",N139&lt;&gt;""),(M141/F141*E139+M142/F142*D139)/(C150+Q141),"")</f>
        <v/>
      </c>
      <c r="G150" s="1" t="str">
        <f>IF(C150,IF(AND(F141&lt;&gt;0,C139&lt;&gt;0),M142,M142/F142*D139)/(C150+Q142),"")</f>
        <v/>
      </c>
      <c r="H150" s="1" t="str">
        <f>IF(C150,(M143)/(C150+Q143),"")</f>
        <v/>
      </c>
      <c r="I150" s="1" t="str">
        <f>IF(C150,(M144)/(C150+Q144),"")</f>
        <v/>
      </c>
      <c r="J150" s="1" t="str">
        <f>IF(C150,(M145)/(C150+Q145),"")</f>
        <v/>
      </c>
      <c r="K150" s="14" t="str">
        <f>IF(AND(C150&lt;&gt;"",N139&lt;&gt;""),9.8*N139*LN((C150+Q141)/(C150+R141)),"")</f>
        <v/>
      </c>
      <c r="L150" s="1" t="str">
        <f>IF(C150,9.8*F142*LN((C150+Q142)/(C150+R142)),"")</f>
        <v/>
      </c>
      <c r="M150" s="1" t="str">
        <f>IF(C150,9.8*F143*LN((C150+Q143)/(C150+R143)),"")</f>
        <v/>
      </c>
      <c r="N150" s="1" t="str">
        <f>IF(C150,9.8*F144*LN((C150+Q144)/(C150+R144)),"")</f>
        <v/>
      </c>
      <c r="O150" s="1" t="str">
        <f>IF(C150,9.8*F145*LN((C150+Q145)/(C150+R145)),"")</f>
        <v/>
      </c>
      <c r="P150" s="15" t="str">
        <f>IF(C150,SUM(K150:O150),"")</f>
        <v/>
      </c>
      <c r="Q150" s="17"/>
      <c r="R150" s="17"/>
      <c r="S150" s="17"/>
      <c r="T150" s="32" t="str">
        <f t="shared" si="45"/>
        <v/>
      </c>
      <c r="U150" s="1"/>
      <c r="V150" s="1"/>
    </row>
    <row r="151" spans="1:22" ht="15" thickBot="1">
      <c r="A151" s="33" t="s">
        <v>45</v>
      </c>
      <c r="B151" s="26" t="s">
        <v>37</v>
      </c>
      <c r="C151" s="1" t="s">
        <v>9</v>
      </c>
      <c r="D151" s="12" t="s">
        <v>28</v>
      </c>
      <c r="E151" s="12" t="s">
        <v>266</v>
      </c>
      <c r="F151" s="11" t="s">
        <v>40</v>
      </c>
      <c r="G151" s="12" t="s">
        <v>29</v>
      </c>
      <c r="H151" s="12" t="s">
        <v>23</v>
      </c>
      <c r="I151" s="12" t="s">
        <v>24</v>
      </c>
      <c r="J151" s="12" t="s">
        <v>25</v>
      </c>
      <c r="K151" s="11" t="s">
        <v>19</v>
      </c>
      <c r="L151" s="12" t="s">
        <v>26</v>
      </c>
      <c r="M151" s="12" t="s">
        <v>20</v>
      </c>
      <c r="N151" s="12" t="s">
        <v>21</v>
      </c>
      <c r="O151" s="12" t="s">
        <v>22</v>
      </c>
      <c r="P151" s="13" t="s">
        <v>27</v>
      </c>
      <c r="Q151" s="85" t="s">
        <v>42</v>
      </c>
      <c r="R151" s="85"/>
      <c r="S151" s="85"/>
      <c r="T151" s="12" t="s">
        <v>51</v>
      </c>
      <c r="U151" s="37" t="s">
        <v>45</v>
      </c>
      <c r="V151" s="38" t="s">
        <v>48</v>
      </c>
    </row>
    <row r="152" spans="1:22">
      <c r="A152" s="40"/>
      <c r="B152" s="27" t="s">
        <v>30</v>
      </c>
      <c r="C152" s="8"/>
      <c r="D152" s="1" t="str">
        <f>IF(C152,C152+Q141,"")</f>
        <v/>
      </c>
      <c r="E152" s="72" t="str">
        <f>IF(C152,C152/D152,"")</f>
        <v/>
      </c>
      <c r="F152" s="14" t="str">
        <f>IF(AND(C152&lt;&gt;"",N139&lt;&gt;""),(M141/F141*E139+M142/F142*D139)/(C152+U141),"")</f>
        <v/>
      </c>
      <c r="G152" s="1" t="str">
        <f>IF(C152,IF(AND(F141&lt;&gt;0,C139&lt;&gt;0),M142,M142/F142*D139)/(C152+U142),"")</f>
        <v/>
      </c>
      <c r="H152" s="1" t="str">
        <f>IF(C152,(M143)/(C152+U143),"")</f>
        <v/>
      </c>
      <c r="I152" s="1" t="str">
        <f>IF(C152,(M144)/(C152+U144),"")</f>
        <v/>
      </c>
      <c r="J152" s="1" t="str">
        <f>IF(C152,(M145)/(C152+U145),"")</f>
        <v/>
      </c>
      <c r="K152" s="14" t="str">
        <f>IF(AND(C152&lt;&gt;"",N139&lt;&gt;""),9.8*N139*LN((C152+U141)/(C152+V141)),"")</f>
        <v/>
      </c>
      <c r="L152" s="1" t="str">
        <f>IF(C152,9.8*F142*LN((C152+U142)/(C152+V142)),"")</f>
        <v/>
      </c>
      <c r="M152" s="1" t="str">
        <f>IF(C152,9.8*F143*LN((C152+U143)/(C152+V143)),"")</f>
        <v/>
      </c>
      <c r="N152" s="1" t="str">
        <f>IF(C152,9.8*F144*LN((C152+U144)/(C152+V144)),"")</f>
        <v/>
      </c>
      <c r="O152" s="1" t="str">
        <f>IF(C152,9.8*F145*LN((C152+U145)/(C152+V145)),"")</f>
        <v/>
      </c>
      <c r="P152" s="15" t="str">
        <f>IF(C152,SUM(K152:O152),"")</f>
        <v/>
      </c>
      <c r="Q152" s="1"/>
      <c r="R152" s="1"/>
      <c r="S152" s="1"/>
      <c r="T152" s="32" t="str">
        <f>IF(OR(F152&lt;1,AND(F152="",G152&lt;1)),"起飞推重比不得小于0，空天飞机除外","")</f>
        <v/>
      </c>
      <c r="U152" s="1"/>
      <c r="V152" s="1"/>
    </row>
    <row r="153" spans="1:22">
      <c r="A153" s="47"/>
      <c r="B153" s="27" t="s">
        <v>31</v>
      </c>
      <c r="C153" s="9"/>
      <c r="D153" s="1" t="str">
        <f>IF(C153,C153+Q141,"")</f>
        <v/>
      </c>
      <c r="E153" s="72" t="str">
        <f t="shared" ref="E153:E155" si="46">IF(C153,C153/D153,"")</f>
        <v/>
      </c>
      <c r="F153" s="14" t="str">
        <f>IF(AND(C153&lt;&gt;"",N139&lt;&gt;""),(M141/F141*E139+M142/F142*D139)/(C153+U141),"")</f>
        <v/>
      </c>
      <c r="G153" s="1" t="str">
        <f>IF(C153,IF(AND(F141&lt;&gt;0,C139&lt;&gt;0),M142,M142/F142*D139)/(C153+U142),"")</f>
        <v/>
      </c>
      <c r="H153" s="1" t="str">
        <f>IF(C153,(M143)/(C153+U143),"")</f>
        <v/>
      </c>
      <c r="I153" s="1" t="str">
        <f>IF(C153,(M144)/(C153+U144),"")</f>
        <v/>
      </c>
      <c r="J153" s="1" t="str">
        <f>IF(C153,(M145)/(C153+U145),"")</f>
        <v/>
      </c>
      <c r="K153" s="14" t="str">
        <f>IF(AND(C153&lt;&gt;"",N139&lt;&gt;""),9.8*N139*LN((C153+U141)/(C153+V141)),"")</f>
        <v/>
      </c>
      <c r="L153" s="1" t="str">
        <f>IF(C153,9.8*F142*LN((C153+U142)/(C153+V142)),"")</f>
        <v/>
      </c>
      <c r="M153" s="1" t="str">
        <f>IF(C153,9.8*F143*LN((C153+U143)/(C153+V143)),"")</f>
        <v/>
      </c>
      <c r="N153" s="1" t="str">
        <f>IF(C153,9.8*F144*LN((C153+U144)/(C153+V144)),"")</f>
        <v/>
      </c>
      <c r="O153" s="1" t="str">
        <f>IF(C153,9.8*F145*LN((C153+U145)/(C153+V145)),"")</f>
        <v/>
      </c>
      <c r="P153" s="15" t="str">
        <f>IF(C153,SUM(K153:O153),"")</f>
        <v/>
      </c>
      <c r="Q153" s="1"/>
      <c r="R153" s="1"/>
      <c r="S153" s="1"/>
      <c r="T153" s="32" t="str">
        <f t="shared" ref="T153:T155" si="47">IF(OR(F153&lt;1,AND(F153="",G153&lt;1)),"起飞推重比不得小于0，空天飞机除外","")</f>
        <v/>
      </c>
      <c r="U153" s="1"/>
      <c r="V153" s="1"/>
    </row>
    <row r="154" spans="1:22">
      <c r="A154" s="47"/>
      <c r="B154" s="27" t="s">
        <v>32</v>
      </c>
      <c r="C154" s="9"/>
      <c r="D154" s="1" t="str">
        <f>IF(C154,C154+Q141,"")</f>
        <v/>
      </c>
      <c r="E154" s="72" t="str">
        <f t="shared" si="46"/>
        <v/>
      </c>
      <c r="F154" s="14" t="str">
        <f>IF(AND(C154&lt;&gt;"",N139&lt;&gt;""),(M141/F141*E139+M142/F142*D139)/(C154+U141),"")</f>
        <v/>
      </c>
      <c r="G154" s="1" t="str">
        <f>IF(C154,IF(AND(F141&lt;&gt;0,C139&lt;&gt;0),M142,M142/F142*D139)/(C154+U142),"")</f>
        <v/>
      </c>
      <c r="H154" s="1" t="str">
        <f>IF(C154,(M143)/(C154+U143),"")</f>
        <v/>
      </c>
      <c r="I154" s="1" t="str">
        <f>IF(C154,(M144)/(C154+U144),"")</f>
        <v/>
      </c>
      <c r="J154" s="1" t="str">
        <f>IF(C154,(M145)/(C154+U145),"")</f>
        <v/>
      </c>
      <c r="K154" s="14" t="str">
        <f>IF(AND(C154&lt;&gt;"",N139&lt;&gt;""),9.8*N139*LN((C154+U141)/(C154+V141)),"")</f>
        <v/>
      </c>
      <c r="L154" s="1" t="str">
        <f>IF(C154,9.8*F142*LN((C154+U142)/(C154+V142)),"")</f>
        <v/>
      </c>
      <c r="M154" s="1" t="str">
        <f>IF(C154,9.8*F143*LN((C154+U143)/(C154+V143)),"")</f>
        <v/>
      </c>
      <c r="N154" s="1" t="str">
        <f>IF(C154,9.8*F144*LN((C154+U144)/(C154+V144)),"")</f>
        <v/>
      </c>
      <c r="O154" s="1" t="str">
        <f>IF(C154,9.8*F145*LN((C154+U145)/(C154+V145)),"")</f>
        <v/>
      </c>
      <c r="P154" s="15" t="str">
        <f>IF(C154,SUM(K154:O154),"")</f>
        <v/>
      </c>
      <c r="Q154" s="1"/>
      <c r="R154" s="1"/>
      <c r="S154" s="1"/>
      <c r="T154" s="32" t="str">
        <f t="shared" si="47"/>
        <v/>
      </c>
      <c r="U154" s="1"/>
      <c r="V154" s="1"/>
    </row>
    <row r="155" spans="1:22" ht="15" thickBot="1">
      <c r="A155" s="48" t="s">
        <v>46</v>
      </c>
      <c r="B155" s="49" t="s">
        <v>33</v>
      </c>
      <c r="C155" s="50"/>
      <c r="D155" s="25" t="str">
        <f>IF(C155,C155+Q141,"")</f>
        <v/>
      </c>
      <c r="E155" s="73" t="str">
        <f t="shared" si="46"/>
        <v/>
      </c>
      <c r="F155" s="70" t="str">
        <f>IF(AND(C155&lt;&gt;"",N139&lt;&gt;""),(M141/F141*E139+M142/F142*D139)/(C155+U141),"")</f>
        <v/>
      </c>
      <c r="G155" s="25" t="str">
        <f>IF(C155,IF(AND(F141&lt;&gt;0,C139&lt;&gt;0),M142,M142/F142*D139)/(C155+U142),"")</f>
        <v/>
      </c>
      <c r="H155" s="25" t="str">
        <f>IF(C155,(M143)/(C155+U143),"")</f>
        <v/>
      </c>
      <c r="I155" s="25" t="str">
        <f>IF(C155,(M144)/(C155+U144),"")</f>
        <v/>
      </c>
      <c r="J155" s="25" t="str">
        <f>IF(C155,(M145)/(C155+U145),"")</f>
        <v/>
      </c>
      <c r="K155" s="70" t="str">
        <f>IF(AND(C155&lt;&gt;"",N139&lt;&gt;""),9.8*N139*LN((C155+U141)/(C155+V141)),"")</f>
        <v/>
      </c>
      <c r="L155" s="25" t="str">
        <f>IF(C155,9.8*F142*LN((C155+U142)/(C155+V142)),"")</f>
        <v/>
      </c>
      <c r="M155" s="25" t="str">
        <f>IF(C155,9.8*F143*LN((C155+U143)/(C155+V143)),"")</f>
        <v/>
      </c>
      <c r="N155" s="25" t="str">
        <f>IF(C155,9.8*F144*LN((C155+U144)/(C155+V144)),"")</f>
        <v/>
      </c>
      <c r="O155" s="25" t="str">
        <f>IF(C155,9.8*F145*LN((C155+U145)/(C155+V145)),"")</f>
        <v/>
      </c>
      <c r="P155" s="71" t="str">
        <f>IF(C155,SUM(K155:O155),"")</f>
        <v/>
      </c>
      <c r="Q155" s="25"/>
      <c r="R155" s="25"/>
      <c r="S155" s="25"/>
      <c r="T155" s="51" t="str">
        <f t="shared" si="47"/>
        <v/>
      </c>
      <c r="U155" s="25"/>
      <c r="V155" s="25"/>
    </row>
    <row r="156" spans="1:22" ht="15" thickBot="1"/>
    <row r="157" spans="1:22" ht="15" thickBot="1">
      <c r="A157" s="52" t="s">
        <v>243</v>
      </c>
      <c r="B157" s="52"/>
      <c r="C157" s="29" t="s">
        <v>0</v>
      </c>
      <c r="D157" s="90" t="s">
        <v>41</v>
      </c>
      <c r="E157" s="90"/>
      <c r="F157" s="43"/>
      <c r="G157" s="43"/>
      <c r="H157" s="43"/>
      <c r="I157" s="86" t="s">
        <v>42</v>
      </c>
      <c r="J157" s="86"/>
      <c r="K157" s="86"/>
      <c r="L157" s="54" t="s">
        <v>70</v>
      </c>
      <c r="M157" s="86" t="s">
        <v>71</v>
      </c>
      <c r="N157" s="86"/>
      <c r="O157" s="87"/>
      <c r="P157" s="29" t="s">
        <v>49</v>
      </c>
      <c r="Q157" s="34" t="str">
        <f>IF(OR(P161&lt;P160,T161&lt;T160),"芯级燃烧时间不得小于助推燃烧时间！","")</f>
        <v/>
      </c>
      <c r="R157" s="44"/>
      <c r="S157" s="45"/>
      <c r="T157" s="29"/>
      <c r="U157" s="46" t="s">
        <v>45</v>
      </c>
      <c r="V157" s="46" t="s">
        <v>48</v>
      </c>
    </row>
    <row r="158" spans="1:22" ht="15" thickBot="1">
      <c r="A158" s="40" t="s">
        <v>252</v>
      </c>
      <c r="B158" s="39"/>
      <c r="C158" s="2">
        <v>2</v>
      </c>
      <c r="D158" s="2">
        <v>342</v>
      </c>
      <c r="E158" s="2">
        <v>253</v>
      </c>
      <c r="F158" s="41"/>
      <c r="G158" s="42"/>
      <c r="H158" s="42"/>
      <c r="I158" s="24" t="s">
        <v>302</v>
      </c>
      <c r="J158" s="24"/>
      <c r="K158" s="24"/>
      <c r="L158" s="55">
        <f>IFERROR(IF(AND(F160&lt;&gt;0,C158&lt;&gt;0),M160/F160*E158+M161/F161*D158,M161/F161*D158),0)</f>
        <v>1423.8548917547987</v>
      </c>
      <c r="M158" s="53" t="s">
        <v>45</v>
      </c>
      <c r="N158" s="17">
        <f>IF(AND(F160&lt;&gt;0,C158&lt;&gt;0),(M160+M161)/(M160/F160+M161/F161),"")</f>
        <v>287.01259071127373</v>
      </c>
      <c r="O158" s="56" t="s">
        <v>46</v>
      </c>
      <c r="P158" s="89" t="s">
        <v>17</v>
      </c>
      <c r="Q158" s="89"/>
      <c r="R158" s="91"/>
      <c r="S158" s="88" t="s">
        <v>18</v>
      </c>
      <c r="T158" s="89"/>
      <c r="U158" s="89"/>
      <c r="V158" s="89"/>
    </row>
    <row r="159" spans="1:22" ht="15" thickBot="1">
      <c r="A159" s="33" t="s">
        <v>45</v>
      </c>
      <c r="B159" s="26" t="s">
        <v>39</v>
      </c>
      <c r="C159" s="1" t="s">
        <v>60</v>
      </c>
      <c r="D159" s="1" t="s">
        <v>61</v>
      </c>
      <c r="E159" s="1" t="s">
        <v>62</v>
      </c>
      <c r="F159" s="1" t="s">
        <v>63</v>
      </c>
      <c r="G159" s="1" t="s">
        <v>64</v>
      </c>
      <c r="H159" s="1" t="s">
        <v>65</v>
      </c>
      <c r="I159" s="60" t="s">
        <v>298</v>
      </c>
      <c r="J159" s="24"/>
      <c r="K159" s="24"/>
      <c r="L159" s="11" t="s">
        <v>6</v>
      </c>
      <c r="M159" s="12" t="s">
        <v>69</v>
      </c>
      <c r="N159" s="12" t="s">
        <v>15</v>
      </c>
      <c r="O159" s="13" t="s">
        <v>14</v>
      </c>
      <c r="P159" s="14" t="s">
        <v>12</v>
      </c>
      <c r="Q159" s="1" t="s">
        <v>10</v>
      </c>
      <c r="R159" s="15" t="s">
        <v>11</v>
      </c>
      <c r="S159" s="14" t="s">
        <v>13</v>
      </c>
      <c r="T159" s="1" t="s">
        <v>16</v>
      </c>
      <c r="U159" s="1" t="s">
        <v>10</v>
      </c>
      <c r="V159" s="1" t="s">
        <v>11</v>
      </c>
    </row>
    <row r="160" spans="1:22">
      <c r="A160" s="40"/>
      <c r="B160" s="27" t="s">
        <v>3</v>
      </c>
      <c r="C160" s="3">
        <v>278.3</v>
      </c>
      <c r="D160" s="4">
        <v>7.29</v>
      </c>
      <c r="E160" s="4">
        <v>722.4</v>
      </c>
      <c r="F160" s="4">
        <v>278</v>
      </c>
      <c r="G160" s="19"/>
      <c r="H160" s="20"/>
      <c r="I160" s="24" t="s">
        <v>292</v>
      </c>
      <c r="J160" s="24"/>
      <c r="K160" s="24"/>
      <c r="L160" s="14">
        <f>C160*C158</f>
        <v>556.6</v>
      </c>
      <c r="M160" s="1">
        <f>E160*C158</f>
        <v>1444.8</v>
      </c>
      <c r="N160" s="1">
        <f>IF(D160,L160/D160,0)</f>
        <v>76.351165980795614</v>
      </c>
      <c r="O160" s="15">
        <f>L160-N160</f>
        <v>480.24883401920442</v>
      </c>
      <c r="P160" s="14">
        <f>IF(AND(F160&lt;&gt;0,C158&lt;&gt;0),O160/M160*F160/IF(G160,G160,1),0)</f>
        <v>92.406683179221233</v>
      </c>
      <c r="Q160" s="1">
        <f>SUM(L160:L164)</f>
        <v>760.54000000000008</v>
      </c>
      <c r="R160" s="15">
        <f>N160+Q161</f>
        <v>250.84452016585021</v>
      </c>
      <c r="S160" s="14">
        <f>N160+H160*O160</f>
        <v>76.351165980795614</v>
      </c>
      <c r="T160" s="1">
        <f>IF(AND(F160&lt;&gt;0,C158&lt;&gt;0),(1-H160)*O160/M160*F160/IF(G160,G160,1),0)</f>
        <v>92.406683179221233</v>
      </c>
      <c r="U160" s="1">
        <f>SUM(L160:L164)</f>
        <v>760.54000000000008</v>
      </c>
      <c r="V160" s="1">
        <f>S160+U161</f>
        <v>250.84452016585021</v>
      </c>
    </row>
    <row r="161" spans="1:22">
      <c r="A161" s="47"/>
      <c r="B161" s="27">
        <v>1</v>
      </c>
      <c r="C161" s="5">
        <v>185</v>
      </c>
      <c r="D161" s="1">
        <v>12.6</v>
      </c>
      <c r="E161" s="1">
        <v>138.30000000000001</v>
      </c>
      <c r="F161" s="1">
        <v>434</v>
      </c>
      <c r="G161" s="5">
        <v>1</v>
      </c>
      <c r="H161" s="21"/>
      <c r="I161" s="30" t="s">
        <v>293</v>
      </c>
      <c r="J161" s="30"/>
      <c r="K161" s="30"/>
      <c r="L161" s="14">
        <f>C161</f>
        <v>185</v>
      </c>
      <c r="M161" s="1">
        <f>E161</f>
        <v>138.30000000000001</v>
      </c>
      <c r="N161" s="1">
        <f>IF(D161,L161/D161,0)</f>
        <v>14.682539682539684</v>
      </c>
      <c r="O161" s="15">
        <f>L161-N161</f>
        <v>170.3174603174603</v>
      </c>
      <c r="P161" s="14">
        <f t="shared" ref="P161:P164" si="48">IF(F161,O161/M161*F161/IF(G161,G161,1),0)</f>
        <v>534.47417048284717</v>
      </c>
      <c r="Q161" s="1">
        <f>IF(F161,SUM(L161:L164)-P160*M161/F161*IF(G161,G161,1),0)</f>
        <v>174.49335418505461</v>
      </c>
      <c r="R161" s="15">
        <f>N161+Q162</f>
        <v>33.622539682539681</v>
      </c>
      <c r="S161" s="14">
        <f>N161+H161*O161</f>
        <v>14.682539682539684</v>
      </c>
      <c r="T161" s="1">
        <f>IF(F161,(1-H161)*O161/M161*F161/IF(G161,G161,1),0)</f>
        <v>534.47417048284717</v>
      </c>
      <c r="U161" s="1">
        <f>IF(F161,SUM(L161:L164)-T160*M161/F161*IF(G161,G161,1),0)</f>
        <v>174.49335418505461</v>
      </c>
      <c r="V161" s="1">
        <f>S161+U162</f>
        <v>33.622539682539681</v>
      </c>
    </row>
    <row r="162" spans="1:22">
      <c r="A162" s="47"/>
      <c r="B162" s="27">
        <v>2</v>
      </c>
      <c r="C162" s="5">
        <v>18.940000000000001</v>
      </c>
      <c r="D162" s="1">
        <v>4.3</v>
      </c>
      <c r="E162" s="1">
        <v>6.61</v>
      </c>
      <c r="F162" s="1">
        <v>446</v>
      </c>
      <c r="G162" s="5"/>
      <c r="H162" s="21"/>
      <c r="I162" s="30" t="s">
        <v>294</v>
      </c>
      <c r="J162" s="30"/>
      <c r="K162" s="30"/>
      <c r="L162" s="14">
        <f>C162</f>
        <v>18.940000000000001</v>
      </c>
      <c r="M162" s="1">
        <f>E162</f>
        <v>6.61</v>
      </c>
      <c r="N162" s="1">
        <f>IF(D162,L162/D162,0)</f>
        <v>4.4046511627906986</v>
      </c>
      <c r="O162" s="15">
        <f>L162-N162</f>
        <v>14.535348837209302</v>
      </c>
      <c r="P162" s="14">
        <f t="shared" si="48"/>
        <v>980.75122260141427</v>
      </c>
      <c r="Q162" s="1">
        <f>SUM(L162:L164)</f>
        <v>18.940000000000001</v>
      </c>
      <c r="R162" s="15">
        <f>N162+Q163</f>
        <v>4.4046511627906986</v>
      </c>
      <c r="S162" s="14">
        <f>N162+H162*O162</f>
        <v>4.4046511627906986</v>
      </c>
      <c r="T162" s="1">
        <f t="shared" ref="T162:T164" si="49">IF(F162,(1-H162)*O162/M162*F162/IF(G162,G162,1),0)</f>
        <v>980.75122260141427</v>
      </c>
      <c r="U162" s="1">
        <f>SUM(L162:L164)</f>
        <v>18.940000000000001</v>
      </c>
      <c r="V162" s="1">
        <f>S162+U163</f>
        <v>4.4046511627906986</v>
      </c>
    </row>
    <row r="163" spans="1:22">
      <c r="A163" s="33" t="s">
        <v>45</v>
      </c>
      <c r="B163" s="27">
        <v>3</v>
      </c>
      <c r="C163" s="5"/>
      <c r="D163" s="1"/>
      <c r="E163" s="1"/>
      <c r="F163" s="1"/>
      <c r="G163" s="5"/>
      <c r="H163" s="21"/>
      <c r="I163" s="30"/>
      <c r="J163" s="30"/>
      <c r="K163" s="30"/>
      <c r="L163" s="14">
        <f>C163</f>
        <v>0</v>
      </c>
      <c r="M163" s="1">
        <f>E163</f>
        <v>0</v>
      </c>
      <c r="N163" s="1">
        <f>IF(D163,L163/D163,0)</f>
        <v>0</v>
      </c>
      <c r="O163" s="15">
        <f>L163-N163</f>
        <v>0</v>
      </c>
      <c r="P163" s="14">
        <f t="shared" si="48"/>
        <v>0</v>
      </c>
      <c r="Q163" s="1">
        <f>SUM(L163:L164)</f>
        <v>0</v>
      </c>
      <c r="R163" s="15">
        <f>N163+Q164</f>
        <v>0</v>
      </c>
      <c r="S163" s="14">
        <f>N163+H163*O163</f>
        <v>0</v>
      </c>
      <c r="T163" s="1">
        <f t="shared" si="49"/>
        <v>0</v>
      </c>
      <c r="U163" s="1">
        <f>SUM(L163:L164)</f>
        <v>0</v>
      </c>
      <c r="V163" s="1">
        <f>S163+U164</f>
        <v>0</v>
      </c>
    </row>
    <row r="164" spans="1:22" ht="15" thickBot="1">
      <c r="A164" s="40"/>
      <c r="B164" s="28">
        <v>4</v>
      </c>
      <c r="C164" s="6"/>
      <c r="D164" s="7"/>
      <c r="E164" s="7"/>
      <c r="F164" s="7"/>
      <c r="G164" s="22"/>
      <c r="H164" s="23"/>
      <c r="I164" s="24"/>
      <c r="J164" s="24"/>
      <c r="K164" s="24"/>
      <c r="L164" s="16">
        <f>C164</f>
        <v>0</v>
      </c>
      <c r="M164" s="17">
        <f>E164</f>
        <v>0</v>
      </c>
      <c r="N164" s="17">
        <f>IF(D164,L164/D164,0)</f>
        <v>0</v>
      </c>
      <c r="O164" s="18">
        <f>L164-N164</f>
        <v>0</v>
      </c>
      <c r="P164" s="14">
        <f t="shared" si="48"/>
        <v>0</v>
      </c>
      <c r="Q164" s="17">
        <f>SUM(L164:L164)</f>
        <v>0</v>
      </c>
      <c r="R164" s="18">
        <f>N164</f>
        <v>0</v>
      </c>
      <c r="S164" s="16">
        <f>N164+H164*O164</f>
        <v>0</v>
      </c>
      <c r="T164" s="17">
        <f t="shared" si="49"/>
        <v>0</v>
      </c>
      <c r="U164" s="17">
        <f>SUM(L164:L164)</f>
        <v>0</v>
      </c>
      <c r="V164" s="17">
        <f>S164</f>
        <v>0</v>
      </c>
    </row>
    <row r="165" spans="1:22" ht="15" thickBot="1">
      <c r="A165" s="47"/>
      <c r="B165" s="26" t="s">
        <v>38</v>
      </c>
      <c r="C165" s="1" t="s">
        <v>4</v>
      </c>
      <c r="D165" s="1" t="s">
        <v>28</v>
      </c>
      <c r="E165" s="1" t="s">
        <v>265</v>
      </c>
      <c r="F165" s="69" t="s">
        <v>40</v>
      </c>
      <c r="G165" s="1" t="s">
        <v>29</v>
      </c>
      <c r="H165" s="1" t="s">
        <v>23</v>
      </c>
      <c r="I165" s="12" t="s">
        <v>24</v>
      </c>
      <c r="J165" s="12" t="s">
        <v>25</v>
      </c>
      <c r="K165" s="11" t="s">
        <v>19</v>
      </c>
      <c r="L165" s="12" t="s">
        <v>26</v>
      </c>
      <c r="M165" s="12" t="s">
        <v>20</v>
      </c>
      <c r="N165" s="12" t="s">
        <v>21</v>
      </c>
      <c r="O165" s="12" t="s">
        <v>22</v>
      </c>
      <c r="P165" s="13" t="s">
        <v>27</v>
      </c>
      <c r="Q165" s="85" t="s">
        <v>42</v>
      </c>
      <c r="R165" s="85"/>
      <c r="S165" s="85"/>
      <c r="T165" s="31" t="s">
        <v>50</v>
      </c>
      <c r="U165" s="35" t="s">
        <v>47</v>
      </c>
      <c r="V165" s="36" t="s">
        <v>264</v>
      </c>
    </row>
    <row r="166" spans="1:22">
      <c r="A166" s="47"/>
      <c r="B166" s="27" t="s">
        <v>30</v>
      </c>
      <c r="C166" s="8"/>
      <c r="D166" s="1" t="str">
        <f>IF(C166,C166+Q160,"")</f>
        <v/>
      </c>
      <c r="E166" s="72" t="str">
        <f>IF(C166,C166/D166,"")</f>
        <v/>
      </c>
      <c r="F166" s="14" t="str">
        <f>IF(AND(C166&lt;&gt;"",N158&lt;&gt;""),(M160/F160*E158+M161/F161*D158)/(C166+Q160),"")</f>
        <v/>
      </c>
      <c r="G166" s="1" t="str">
        <f>IF(C166,IF(AND(F160&lt;&gt;0,C158&lt;&gt;0),M161,M161/F161*D158)/(C166+Q161),"")</f>
        <v/>
      </c>
      <c r="H166" s="1" t="str">
        <f>IF(C166,(M162)/(C166+Q162),"")</f>
        <v/>
      </c>
      <c r="I166" s="1" t="str">
        <f>IF(C166,(M163)/(C166+Q163),"")</f>
        <v/>
      </c>
      <c r="J166" s="1" t="str">
        <f>IF(C166,(M164)/(C166+Q164),"")</f>
        <v/>
      </c>
      <c r="K166" s="14" t="str">
        <f>IF(AND(C166&lt;&gt;"",N158&lt;&gt;""),9.8*N158*LN((C166+Q160)/(C166+R160)),"")</f>
        <v/>
      </c>
      <c r="L166" s="1" t="str">
        <f>IF(C166,9.8*F161*LN((C166+Q161)/(C166+R161)),"")</f>
        <v/>
      </c>
      <c r="M166" s="1" t="str">
        <f>IF(C166,9.8*F162*LN((C166+Q162)/(C166+R162)),"")</f>
        <v/>
      </c>
      <c r="N166" s="1" t="str">
        <f>IF(C166,9.8*F163*LN((C166+Q163)/(C166+R163)),"")</f>
        <v/>
      </c>
      <c r="O166" s="1" t="str">
        <f>IF(C166,9.8*F164*LN((C166+Q164)/(C166+R164)),"")</f>
        <v/>
      </c>
      <c r="P166" s="15" t="str">
        <f>IF(C166,SUM(K166:O166),"")</f>
        <v/>
      </c>
      <c r="Q166" s="1"/>
      <c r="R166" s="1"/>
      <c r="S166" s="1"/>
      <c r="T166" s="32" t="str">
        <f>IF(OR(F166&lt;1,AND(F166="",G166&lt;1)),"起飞推重比不得小于0，空天飞机除外","")</f>
        <v/>
      </c>
      <c r="U166" s="1"/>
      <c r="V166" s="1"/>
    </row>
    <row r="167" spans="1:22">
      <c r="A167" s="33" t="s">
        <v>47</v>
      </c>
      <c r="B167" s="27" t="s">
        <v>31</v>
      </c>
      <c r="C167" s="9">
        <v>10.5</v>
      </c>
      <c r="D167" s="1">
        <f>IF(C167,C167+Q160,"")</f>
        <v>771.04000000000008</v>
      </c>
      <c r="E167" s="72">
        <f t="shared" ref="E167:E169" si="50">IF(C167,C167/D167,"")</f>
        <v>1.3617970533305664E-2</v>
      </c>
      <c r="F167" s="14">
        <f>IF(AND(C167&lt;&gt;"",N158&lt;&gt;""),(M160/F160*E158+M161/F161*D158)/(C167+Q160),"")</f>
        <v>1.8466679961542833</v>
      </c>
      <c r="G167" s="1">
        <f>IF(C167,IF(AND(F160&lt;&gt;0,C158&lt;&gt;0),M161,M161/F161*D158)/(C167+Q161),"")</f>
        <v>0.74759442364429052</v>
      </c>
      <c r="H167" s="1">
        <f>IF(C167,(M162)/(C167+Q162),"")</f>
        <v>0.22452445652173914</v>
      </c>
      <c r="I167" s="1">
        <f>IF(C167,(M163)/(C167+Q163),"")</f>
        <v>0</v>
      </c>
      <c r="J167" s="1">
        <f>IF(C167,(M164)/(C167+Q164),"")</f>
        <v>0</v>
      </c>
      <c r="K167" s="14">
        <f>IF(AND(C167&lt;&gt;"",N158&lt;&gt;""),9.8*N158*LN((C167+Q160)/(C167+R160)),"")</f>
        <v>3043.0874466617988</v>
      </c>
      <c r="L167" s="1">
        <f>IF(C167,9.8*F161*LN((C167+Q161)/(C167+R161)),"")</f>
        <v>6096.3205848447842</v>
      </c>
      <c r="M167" s="1">
        <f>IF(C167,9.8*F162*LN((C167+Q162)/(C167+R162)),"")</f>
        <v>2975.1203882393629</v>
      </c>
      <c r="N167" s="1">
        <f>IF(C167,9.8*F163*LN((C167+Q163)/(C167+R163)),"")</f>
        <v>0</v>
      </c>
      <c r="O167" s="1">
        <f>IF(C167,9.8*F164*LN((C167+Q164)/(C167+R164)),"")</f>
        <v>0</v>
      </c>
      <c r="P167" s="15">
        <f>IF(C167,SUM(K167:O167),"")</f>
        <v>12114.528419745948</v>
      </c>
      <c r="Q167" s="1"/>
      <c r="R167" s="1"/>
      <c r="S167" s="1"/>
      <c r="T167" s="32" t="str">
        <f t="shared" ref="T167:T169" si="51">IF(OR(F167&lt;1,AND(F167="",G167&lt;1)),"起飞推重比不得小于0，空天飞机除外","")</f>
        <v/>
      </c>
      <c r="U167" s="1"/>
      <c r="V167" s="1"/>
    </row>
    <row r="168" spans="1:22">
      <c r="A168" s="40"/>
      <c r="B168" s="27" t="s">
        <v>36</v>
      </c>
      <c r="C168" s="9"/>
      <c r="D168" s="1" t="str">
        <f>IF(C168,C168+Q160,"")</f>
        <v/>
      </c>
      <c r="E168" s="72" t="str">
        <f t="shared" si="50"/>
        <v/>
      </c>
      <c r="F168" s="14" t="str">
        <f>IF(AND(C168&lt;&gt;"",N158&lt;&gt;""),(M160/F160*E158+M161/F161*D158)/(C168+Q160),"")</f>
        <v/>
      </c>
      <c r="G168" s="1" t="str">
        <f>IF(C168,IF(AND(F160&lt;&gt;0,C158&lt;&gt;0),M161,M161/F161*D158)/(C168+Q161),"")</f>
        <v/>
      </c>
      <c r="H168" s="1" t="str">
        <f>IF(C168,(M162)/(C168+Q162),"")</f>
        <v/>
      </c>
      <c r="I168" s="1" t="str">
        <f>IF(C168,(M163)/(C168+Q163),"")</f>
        <v/>
      </c>
      <c r="J168" s="1" t="str">
        <f>IF(C168,(M164)/(C168+Q164),"")</f>
        <v/>
      </c>
      <c r="K168" s="14" t="str">
        <f>IF(AND(C168&lt;&gt;"",N158&lt;&gt;""),9.8*N158*LN((C168+Q160)/(C168+R160)),"")</f>
        <v/>
      </c>
      <c r="L168" s="1" t="str">
        <f>IF(C168,9.8*F161*LN((C168+Q161)/(C168+R161)),"")</f>
        <v/>
      </c>
      <c r="M168" s="1" t="str">
        <f>IF(C168,9.8*F162*LN((C168+Q162)/(C168+R162)),"")</f>
        <v/>
      </c>
      <c r="N168" s="1" t="str">
        <f>IF(C168,9.8*F163*LN((C168+Q163)/(C168+R163)),"")</f>
        <v/>
      </c>
      <c r="O168" s="1" t="str">
        <f>IF(C168,9.8*F164*LN((C168+Q164)/(C168+R164)),"")</f>
        <v/>
      </c>
      <c r="P168" s="15" t="str">
        <f>IF(C168,SUM(K168:O168),"")</f>
        <v/>
      </c>
      <c r="Q168" s="1"/>
      <c r="R168" s="1"/>
      <c r="S168" s="1"/>
      <c r="T168" s="32" t="str">
        <f t="shared" si="51"/>
        <v/>
      </c>
      <c r="U168" s="1"/>
      <c r="V168" s="1"/>
    </row>
    <row r="169" spans="1:22" ht="15" thickBot="1">
      <c r="A169" s="47"/>
      <c r="B169" s="28" t="s">
        <v>5</v>
      </c>
      <c r="C169" s="10"/>
      <c r="D169" s="1" t="str">
        <f>IF(C169,C169+Q160,"")</f>
        <v/>
      </c>
      <c r="E169" s="72" t="str">
        <f t="shared" si="50"/>
        <v/>
      </c>
      <c r="F169" s="14" t="str">
        <f>IF(AND(C169&lt;&gt;"",N158&lt;&gt;""),(M160/F160*E158+M161/F161*D158)/(C169+Q160),"")</f>
        <v/>
      </c>
      <c r="G169" s="1" t="str">
        <f>IF(C169,IF(AND(F160&lt;&gt;0,C158&lt;&gt;0),M161,M161/F161*D158)/(C169+Q161),"")</f>
        <v/>
      </c>
      <c r="H169" s="1" t="str">
        <f>IF(C169,(M162)/(C169+Q162),"")</f>
        <v/>
      </c>
      <c r="I169" s="1" t="str">
        <f>IF(C169,(M163)/(C169+Q163),"")</f>
        <v/>
      </c>
      <c r="J169" s="1" t="str">
        <f>IF(C169,(M164)/(C169+Q164),"")</f>
        <v/>
      </c>
      <c r="K169" s="14" t="str">
        <f>IF(AND(C169&lt;&gt;"",N158&lt;&gt;""),9.8*N158*LN((C169+Q160)/(C169+R160)),"")</f>
        <v/>
      </c>
      <c r="L169" s="1" t="str">
        <f>IF(C169,9.8*F161*LN((C169+Q161)/(C169+R161)),"")</f>
        <v/>
      </c>
      <c r="M169" s="1" t="str">
        <f>IF(C169,9.8*F162*LN((C169+Q162)/(C169+R162)),"")</f>
        <v/>
      </c>
      <c r="N169" s="1" t="str">
        <f>IF(C169,9.8*F163*LN((C169+Q163)/(C169+R163)),"")</f>
        <v/>
      </c>
      <c r="O169" s="1" t="str">
        <f>IF(C169,9.8*F164*LN((C169+Q164)/(C169+R164)),"")</f>
        <v/>
      </c>
      <c r="P169" s="15" t="str">
        <f>IF(C169,SUM(K169:O169),"")</f>
        <v/>
      </c>
      <c r="Q169" s="17"/>
      <c r="R169" s="17"/>
      <c r="S169" s="17"/>
      <c r="T169" s="32" t="str">
        <f t="shared" si="51"/>
        <v/>
      </c>
      <c r="U169" s="1"/>
      <c r="V169" s="1"/>
    </row>
    <row r="170" spans="1:22" ht="15" thickBot="1">
      <c r="A170" s="33" t="s">
        <v>45</v>
      </c>
      <c r="B170" s="26" t="s">
        <v>37</v>
      </c>
      <c r="C170" s="1" t="s">
        <v>9</v>
      </c>
      <c r="D170" s="12" t="s">
        <v>28</v>
      </c>
      <c r="E170" s="12" t="s">
        <v>266</v>
      </c>
      <c r="F170" s="11" t="s">
        <v>40</v>
      </c>
      <c r="G170" s="12" t="s">
        <v>29</v>
      </c>
      <c r="H170" s="12" t="s">
        <v>23</v>
      </c>
      <c r="I170" s="12" t="s">
        <v>24</v>
      </c>
      <c r="J170" s="12" t="s">
        <v>25</v>
      </c>
      <c r="K170" s="11" t="s">
        <v>19</v>
      </c>
      <c r="L170" s="12" t="s">
        <v>26</v>
      </c>
      <c r="M170" s="12" t="s">
        <v>20</v>
      </c>
      <c r="N170" s="12" t="s">
        <v>21</v>
      </c>
      <c r="O170" s="12" t="s">
        <v>22</v>
      </c>
      <c r="P170" s="13" t="s">
        <v>27</v>
      </c>
      <c r="Q170" s="85" t="s">
        <v>42</v>
      </c>
      <c r="R170" s="85"/>
      <c r="S170" s="85"/>
      <c r="T170" s="12" t="s">
        <v>51</v>
      </c>
      <c r="U170" s="37" t="s">
        <v>45</v>
      </c>
      <c r="V170" s="38" t="s">
        <v>48</v>
      </c>
    </row>
    <row r="171" spans="1:22">
      <c r="A171" s="40"/>
      <c r="B171" s="27" t="s">
        <v>30</v>
      </c>
      <c r="C171" s="8"/>
      <c r="D171" s="1" t="str">
        <f>IF(C171,C171+Q160,"")</f>
        <v/>
      </c>
      <c r="E171" s="72" t="str">
        <f>IF(C171,C171/D171,"")</f>
        <v/>
      </c>
      <c r="F171" s="14" t="str">
        <f>IF(AND(C171&lt;&gt;"",N158&lt;&gt;""),(M160/F160*E158+M161/F161*D158)/(C171+U160),"")</f>
        <v/>
      </c>
      <c r="G171" s="1" t="str">
        <f>IF(C171,IF(AND(F160&lt;&gt;0,C158&lt;&gt;0),M161,M161/F161*D158)/(C171+U161),"")</f>
        <v/>
      </c>
      <c r="H171" s="1" t="str">
        <f>IF(C171,(M162)/(C171+U162),"")</f>
        <v/>
      </c>
      <c r="I171" s="1" t="str">
        <f>IF(C171,(M163)/(C171+U163),"")</f>
        <v/>
      </c>
      <c r="J171" s="1" t="str">
        <f>IF(C171,(M164)/(C171+U164),"")</f>
        <v/>
      </c>
      <c r="K171" s="14" t="str">
        <f>IF(AND(C171&lt;&gt;"",N158&lt;&gt;""),9.8*N158*LN((C171+U160)/(C171+V160)),"")</f>
        <v/>
      </c>
      <c r="L171" s="1" t="str">
        <f>IF(C171,9.8*F161*LN((C171+U161)/(C171+V161)),"")</f>
        <v/>
      </c>
      <c r="M171" s="1" t="str">
        <f>IF(C171,9.8*F162*LN((C171+U162)/(C171+V162)),"")</f>
        <v/>
      </c>
      <c r="N171" s="1" t="str">
        <f>IF(C171,9.8*F163*LN((C171+U163)/(C171+V163)),"")</f>
        <v/>
      </c>
      <c r="O171" s="1" t="str">
        <f>IF(C171,9.8*F164*LN((C171+U164)/(C171+V164)),"")</f>
        <v/>
      </c>
      <c r="P171" s="15" t="str">
        <f>IF(C171,SUM(K171:O171),"")</f>
        <v/>
      </c>
      <c r="Q171" s="1"/>
      <c r="R171" s="1"/>
      <c r="S171" s="1"/>
      <c r="T171" s="32" t="str">
        <f>IF(OR(F171&lt;1,AND(F171="",G171&lt;1)),"起飞推重比不得小于0，空天飞机除外","")</f>
        <v/>
      </c>
      <c r="U171" s="1"/>
      <c r="V171" s="1"/>
    </row>
    <row r="172" spans="1:22">
      <c r="A172" s="47"/>
      <c r="B172" s="27" t="s">
        <v>31</v>
      </c>
      <c r="C172" s="9"/>
      <c r="D172" s="1" t="str">
        <f>IF(C172,C172+Q160,"")</f>
        <v/>
      </c>
      <c r="E172" s="72" t="str">
        <f t="shared" ref="E172:E174" si="52">IF(C172,C172/D172,"")</f>
        <v/>
      </c>
      <c r="F172" s="14" t="str">
        <f>IF(AND(C172&lt;&gt;"",N158&lt;&gt;""),(M160/F160*E158+M161/F161*D158)/(C172+U160),"")</f>
        <v/>
      </c>
      <c r="G172" s="1" t="str">
        <f>IF(C172,IF(AND(F160&lt;&gt;0,C158&lt;&gt;0),M161,M161/F161*D158)/(C172+U161),"")</f>
        <v/>
      </c>
      <c r="H172" s="1" t="str">
        <f>IF(C172,(M162)/(C172+U162),"")</f>
        <v/>
      </c>
      <c r="I172" s="1" t="str">
        <f>IF(C172,(M163)/(C172+U163),"")</f>
        <v/>
      </c>
      <c r="J172" s="1" t="str">
        <f>IF(C172,(M164)/(C172+U164),"")</f>
        <v/>
      </c>
      <c r="K172" s="14" t="str">
        <f>IF(AND(C172&lt;&gt;"",N158&lt;&gt;""),9.8*N158*LN((C172+U160)/(C172+V160)),"")</f>
        <v/>
      </c>
      <c r="L172" s="1" t="str">
        <f>IF(C172,9.8*F161*LN((C172+U161)/(C172+V161)),"")</f>
        <v/>
      </c>
      <c r="M172" s="1" t="str">
        <f>IF(C172,9.8*F162*LN((C172+U162)/(C172+V162)),"")</f>
        <v/>
      </c>
      <c r="N172" s="1" t="str">
        <f>IF(C172,9.8*F163*LN((C172+U163)/(C172+V163)),"")</f>
        <v/>
      </c>
      <c r="O172" s="1" t="str">
        <f>IF(C172,9.8*F164*LN((C172+U164)/(C172+V164)),"")</f>
        <v/>
      </c>
      <c r="P172" s="15" t="str">
        <f>IF(C172,SUM(K172:O172),"")</f>
        <v/>
      </c>
      <c r="Q172" s="1"/>
      <c r="R172" s="1"/>
      <c r="S172" s="1"/>
      <c r="T172" s="32" t="str">
        <f t="shared" ref="T172:T174" si="53">IF(OR(F172&lt;1,AND(F172="",G172&lt;1)),"起飞推重比不得小于0，空天飞机除外","")</f>
        <v/>
      </c>
      <c r="U172" s="1"/>
      <c r="V172" s="1"/>
    </row>
    <row r="173" spans="1:22">
      <c r="A173" s="47"/>
      <c r="B173" s="27" t="s">
        <v>32</v>
      </c>
      <c r="C173" s="9"/>
      <c r="D173" s="1" t="str">
        <f>IF(C173,C173+Q160,"")</f>
        <v/>
      </c>
      <c r="E173" s="72" t="str">
        <f t="shared" si="52"/>
        <v/>
      </c>
      <c r="F173" s="14" t="str">
        <f>IF(AND(C173&lt;&gt;"",N158&lt;&gt;""),(M160/F160*E158+M161/F161*D158)/(C173+U160),"")</f>
        <v/>
      </c>
      <c r="G173" s="1" t="str">
        <f>IF(C173,IF(AND(F160&lt;&gt;0,C158&lt;&gt;0),M161,M161/F161*D158)/(C173+U161),"")</f>
        <v/>
      </c>
      <c r="H173" s="1" t="str">
        <f>IF(C173,(M162)/(C173+U162),"")</f>
        <v/>
      </c>
      <c r="I173" s="1" t="str">
        <f>IF(C173,(M163)/(C173+U163),"")</f>
        <v/>
      </c>
      <c r="J173" s="1" t="str">
        <f>IF(C173,(M164)/(C173+U164),"")</f>
        <v/>
      </c>
      <c r="K173" s="14" t="str">
        <f>IF(AND(C173&lt;&gt;"",N158&lt;&gt;""),9.8*N158*LN((C173+U160)/(C173+V160)),"")</f>
        <v/>
      </c>
      <c r="L173" s="1" t="str">
        <f>IF(C173,9.8*F161*LN((C173+U161)/(C173+V161)),"")</f>
        <v/>
      </c>
      <c r="M173" s="1" t="str">
        <f>IF(C173,9.8*F162*LN((C173+U162)/(C173+V162)),"")</f>
        <v/>
      </c>
      <c r="N173" s="1" t="str">
        <f>IF(C173,9.8*F163*LN((C173+U163)/(C173+V163)),"")</f>
        <v/>
      </c>
      <c r="O173" s="1" t="str">
        <f>IF(C173,9.8*F164*LN((C173+U164)/(C173+V164)),"")</f>
        <v/>
      </c>
      <c r="P173" s="15" t="str">
        <f>IF(C173,SUM(K173:O173),"")</f>
        <v/>
      </c>
      <c r="Q173" s="1"/>
      <c r="R173" s="1"/>
      <c r="S173" s="1"/>
      <c r="T173" s="32" t="str">
        <f t="shared" si="53"/>
        <v/>
      </c>
      <c r="U173" s="1"/>
      <c r="V173" s="1"/>
    </row>
    <row r="174" spans="1:22" ht="15" thickBot="1">
      <c r="A174" s="48" t="s">
        <v>46</v>
      </c>
      <c r="B174" s="49" t="s">
        <v>33</v>
      </c>
      <c r="C174" s="50"/>
      <c r="D174" s="25" t="str">
        <f>IF(C174,C174+Q160,"")</f>
        <v/>
      </c>
      <c r="E174" s="73" t="str">
        <f t="shared" si="52"/>
        <v/>
      </c>
      <c r="F174" s="70" t="str">
        <f>IF(AND(C174&lt;&gt;"",N158&lt;&gt;""),(M160/F160*E158+M161/F161*D158)/(C174+U160),"")</f>
        <v/>
      </c>
      <c r="G174" s="25" t="str">
        <f>IF(C174,IF(AND(F160&lt;&gt;0,C158&lt;&gt;0),M161,M161/F161*D158)/(C174+U161),"")</f>
        <v/>
      </c>
      <c r="H174" s="25" t="str">
        <f>IF(C174,(M162)/(C174+U162),"")</f>
        <v/>
      </c>
      <c r="I174" s="25" t="str">
        <f>IF(C174,(M163)/(C174+U163),"")</f>
        <v/>
      </c>
      <c r="J174" s="25" t="str">
        <f>IF(C174,(M164)/(C174+U164),"")</f>
        <v/>
      </c>
      <c r="K174" s="70" t="str">
        <f>IF(AND(C174&lt;&gt;"",N158&lt;&gt;""),9.8*N158*LN((C174+U160)/(C174+V160)),"")</f>
        <v/>
      </c>
      <c r="L174" s="25" t="str">
        <f>IF(C174,9.8*F161*LN((C174+U161)/(C174+V161)),"")</f>
        <v/>
      </c>
      <c r="M174" s="25" t="str">
        <f>IF(C174,9.8*F162*LN((C174+U162)/(C174+V162)),"")</f>
        <v/>
      </c>
      <c r="N174" s="25" t="str">
        <f>IF(C174,9.8*F163*LN((C174+U163)/(C174+V163)),"")</f>
        <v/>
      </c>
      <c r="O174" s="25" t="str">
        <f>IF(C174,9.8*F164*LN((C174+U164)/(C174+V164)),"")</f>
        <v/>
      </c>
      <c r="P174" s="71" t="str">
        <f>IF(C174,SUM(K174:O174),"")</f>
        <v/>
      </c>
      <c r="Q174" s="25"/>
      <c r="R174" s="25"/>
      <c r="S174" s="25"/>
      <c r="T174" s="51" t="str">
        <f t="shared" si="53"/>
        <v/>
      </c>
      <c r="U174" s="25"/>
      <c r="V174" s="25"/>
    </row>
    <row r="175" spans="1:22" ht="15" thickBot="1"/>
    <row r="176" spans="1:22" ht="15" thickBot="1">
      <c r="A176" s="52" t="s">
        <v>244</v>
      </c>
      <c r="B176" s="52"/>
      <c r="C176" s="29" t="s">
        <v>0</v>
      </c>
      <c r="D176" s="90" t="s">
        <v>41</v>
      </c>
      <c r="E176" s="90"/>
      <c r="F176" s="43"/>
      <c r="G176" s="43"/>
      <c r="H176" s="43"/>
      <c r="I176" s="86" t="s">
        <v>42</v>
      </c>
      <c r="J176" s="86"/>
      <c r="K176" s="86"/>
      <c r="L176" s="54" t="s">
        <v>70</v>
      </c>
      <c r="M176" s="86" t="s">
        <v>71</v>
      </c>
      <c r="N176" s="86"/>
      <c r="O176" s="87"/>
      <c r="P176" s="29" t="s">
        <v>49</v>
      </c>
      <c r="Q176" s="34" t="str">
        <f>IF(OR(P180&lt;P179,T180&lt;T179),"芯级燃烧时间不得小于助推燃烧时间！","")</f>
        <v/>
      </c>
      <c r="R176" s="44"/>
      <c r="S176" s="45"/>
      <c r="T176" s="29"/>
      <c r="U176" s="46" t="s">
        <v>45</v>
      </c>
      <c r="V176" s="46" t="s">
        <v>48</v>
      </c>
    </row>
    <row r="177" spans="1:22" ht="15" thickBot="1">
      <c r="A177" s="40" t="s">
        <v>253</v>
      </c>
      <c r="B177" s="39"/>
      <c r="C177" s="2">
        <v>4</v>
      </c>
      <c r="D177" s="2">
        <v>349</v>
      </c>
      <c r="E177" s="2">
        <v>256</v>
      </c>
      <c r="F177" s="41"/>
      <c r="G177" s="42"/>
      <c r="H177" s="42"/>
      <c r="I177" s="24" t="s">
        <v>301</v>
      </c>
      <c r="J177" s="24"/>
      <c r="K177" s="24"/>
      <c r="L177" s="55">
        <f>IFERROR(IF(AND(F179&lt;&gt;0,C177&lt;&gt;0),M179/F179*E177+M180/F180*D177,M180/F180*D177),0)</f>
        <v>1025.7971158770806</v>
      </c>
      <c r="M177" s="53" t="s">
        <v>45</v>
      </c>
      <c r="N177" s="17">
        <f>IF(AND(F179&lt;&gt;0,C177&lt;&gt;0),(M179+M180)/(M179/F179+M180/F180),"")</f>
        <v>304.78852855674791</v>
      </c>
      <c r="O177" s="56" t="s">
        <v>46</v>
      </c>
      <c r="P177" s="89" t="s">
        <v>17</v>
      </c>
      <c r="Q177" s="89"/>
      <c r="R177" s="91"/>
      <c r="S177" s="88" t="s">
        <v>18</v>
      </c>
      <c r="T177" s="89"/>
      <c r="U177" s="89"/>
      <c r="V177" s="89"/>
    </row>
    <row r="178" spans="1:22" ht="15" thickBot="1">
      <c r="A178" s="33" t="s">
        <v>45</v>
      </c>
      <c r="B178" s="26" t="s">
        <v>39</v>
      </c>
      <c r="C178" s="1" t="s">
        <v>60</v>
      </c>
      <c r="D178" s="1" t="s">
        <v>61</v>
      </c>
      <c r="E178" s="1" t="s">
        <v>62</v>
      </c>
      <c r="F178" s="1" t="s">
        <v>63</v>
      </c>
      <c r="G178" s="1" t="s">
        <v>64</v>
      </c>
      <c r="H178" s="1" t="s">
        <v>65</v>
      </c>
      <c r="I178" s="59" t="s">
        <v>299</v>
      </c>
      <c r="J178" s="24"/>
      <c r="K178" s="24"/>
      <c r="L178" s="11" t="s">
        <v>6</v>
      </c>
      <c r="M178" s="12" t="s">
        <v>69</v>
      </c>
      <c r="N178" s="12" t="s">
        <v>15</v>
      </c>
      <c r="O178" s="13" t="s">
        <v>14</v>
      </c>
      <c r="P178" s="14" t="s">
        <v>12</v>
      </c>
      <c r="Q178" s="1" t="s">
        <v>10</v>
      </c>
      <c r="R178" s="15" t="s">
        <v>11</v>
      </c>
      <c r="S178" s="14" t="s">
        <v>13</v>
      </c>
      <c r="T178" s="1" t="s">
        <v>16</v>
      </c>
      <c r="U178" s="1" t="s">
        <v>10</v>
      </c>
      <c r="V178" s="1" t="s">
        <v>11</v>
      </c>
    </row>
    <row r="179" spans="1:22">
      <c r="A179" s="40"/>
      <c r="B179" s="27" t="s">
        <v>3</v>
      </c>
      <c r="C179" s="3">
        <v>76.5</v>
      </c>
      <c r="D179" s="4">
        <v>7.25</v>
      </c>
      <c r="E179" s="4">
        <v>235.2</v>
      </c>
      <c r="F179" s="4">
        <v>284</v>
      </c>
      <c r="G179" s="19"/>
      <c r="H179" s="20"/>
      <c r="I179" s="24" t="s">
        <v>295</v>
      </c>
      <c r="J179" s="24"/>
      <c r="K179" s="24"/>
      <c r="L179" s="14">
        <f>C179*C177</f>
        <v>306</v>
      </c>
      <c r="M179" s="1">
        <f>E179*C177</f>
        <v>940.8</v>
      </c>
      <c r="N179" s="1">
        <f>IF(D179,L179/D179,0)</f>
        <v>42.206896551724135</v>
      </c>
      <c r="O179" s="15">
        <f>L179-N179</f>
        <v>263.79310344827587</v>
      </c>
      <c r="P179" s="14">
        <f>IF(AND(F179&lt;&gt;0,C177&lt;&gt;0),O179/M179*F179/IF(G179,G179,1),0)</f>
        <v>79.631421534130894</v>
      </c>
      <c r="Q179" s="1">
        <f>SUM(L179:L183)</f>
        <v>528</v>
      </c>
      <c r="R179" s="15">
        <f>N179+Q180</f>
        <v>223.64916572036338</v>
      </c>
      <c r="S179" s="14">
        <f>N179+H179*O179</f>
        <v>42.206896551724135</v>
      </c>
      <c r="T179" s="1">
        <f>IF(AND(F179&lt;&gt;0,C177&lt;&gt;0),(1-H179)*O179/M179*F179/IF(G179,G179,1),0)</f>
        <v>79.631421534130894</v>
      </c>
      <c r="U179" s="1">
        <f>SUM(L179:L183)</f>
        <v>528</v>
      </c>
      <c r="V179" s="1">
        <f>S179+U180</f>
        <v>223.64916572036338</v>
      </c>
    </row>
    <row r="180" spans="1:22">
      <c r="A180" s="47"/>
      <c r="B180" s="27">
        <v>1</v>
      </c>
      <c r="C180" s="5">
        <v>202</v>
      </c>
      <c r="D180" s="1">
        <v>8.35</v>
      </c>
      <c r="E180" s="1">
        <v>224.1</v>
      </c>
      <c r="F180" s="1">
        <v>440</v>
      </c>
      <c r="G180" s="5">
        <v>1</v>
      </c>
      <c r="H180" s="21"/>
      <c r="I180" s="30" t="s">
        <v>296</v>
      </c>
      <c r="J180" s="30"/>
      <c r="K180" s="30"/>
      <c r="L180" s="14">
        <f>C180</f>
        <v>202</v>
      </c>
      <c r="M180" s="1">
        <f>E180</f>
        <v>224.1</v>
      </c>
      <c r="N180" s="1">
        <f>IF(D180,L180/D180,0)</f>
        <v>24.191616766467067</v>
      </c>
      <c r="O180" s="15">
        <f>L180-N180</f>
        <v>177.80838323353294</v>
      </c>
      <c r="P180" s="14">
        <f t="shared" ref="P180:P183" si="54">IF(F180,O180/M180*F180/IF(G180,G180,1),0)</f>
        <v>349.11061411313921</v>
      </c>
      <c r="Q180" s="1">
        <f>IF(F180,SUM(L180:L183)-P179*M180/F180*IF(G180,G180,1),0)</f>
        <v>181.44226916863926</v>
      </c>
      <c r="R180" s="15">
        <f>N180+Q181</f>
        <v>44.191616766467064</v>
      </c>
      <c r="S180" s="14">
        <f>N180+H180*O180</f>
        <v>24.191616766467067</v>
      </c>
      <c r="T180" s="1">
        <f>IF(F180,(1-H180)*O180/M180*F180/IF(G180,G180,1),0)</f>
        <v>349.11061411313921</v>
      </c>
      <c r="U180" s="1">
        <f>IF(F180,SUM(L180:L183)-T179*M180/F180*IF(G180,G180,1),0)</f>
        <v>181.44226916863926</v>
      </c>
      <c r="V180" s="1">
        <f>S180+U181</f>
        <v>44.191616766467064</v>
      </c>
    </row>
    <row r="181" spans="1:22">
      <c r="A181" s="47"/>
      <c r="B181" s="27">
        <v>2</v>
      </c>
      <c r="C181" s="5">
        <v>20</v>
      </c>
      <c r="D181" s="1">
        <v>5.88</v>
      </c>
      <c r="E181" s="1">
        <v>14</v>
      </c>
      <c r="F181" s="1">
        <v>448</v>
      </c>
      <c r="G181" s="5"/>
      <c r="H181" s="21"/>
      <c r="I181" s="30" t="s">
        <v>297</v>
      </c>
      <c r="J181" s="30"/>
      <c r="K181" s="30"/>
      <c r="L181" s="14">
        <f>C181</f>
        <v>20</v>
      </c>
      <c r="M181" s="1">
        <f>E181</f>
        <v>14</v>
      </c>
      <c r="N181" s="1">
        <f>IF(D181,L181/D181,0)</f>
        <v>3.4013605442176873</v>
      </c>
      <c r="O181" s="15">
        <f>L181-N181</f>
        <v>16.598639455782312</v>
      </c>
      <c r="P181" s="14">
        <f t="shared" si="54"/>
        <v>531.15646258503398</v>
      </c>
      <c r="Q181" s="1">
        <f>SUM(L181:L183)</f>
        <v>20</v>
      </c>
      <c r="R181" s="15">
        <f>N181+Q182</f>
        <v>3.4013605442176873</v>
      </c>
      <c r="S181" s="14">
        <f>N181+H181*O181</f>
        <v>3.4013605442176873</v>
      </c>
      <c r="T181" s="1">
        <f t="shared" ref="T181:T183" si="55">IF(F181,(1-H181)*O181/M181*F181/IF(G181,G181,1),0)</f>
        <v>531.15646258503398</v>
      </c>
      <c r="U181" s="1">
        <f>SUM(L181:L183)</f>
        <v>20</v>
      </c>
      <c r="V181" s="1">
        <f>S181+U182</f>
        <v>3.4013605442176873</v>
      </c>
    </row>
    <row r="182" spans="1:22">
      <c r="A182" s="33" t="s">
        <v>45</v>
      </c>
      <c r="B182" s="27">
        <v>3</v>
      </c>
      <c r="C182" s="5"/>
      <c r="D182" s="1"/>
      <c r="E182" s="1"/>
      <c r="F182" s="1"/>
      <c r="G182" s="5"/>
      <c r="H182" s="21"/>
      <c r="I182" s="30"/>
      <c r="J182" s="30"/>
      <c r="K182" s="30"/>
      <c r="L182" s="14">
        <f>C182</f>
        <v>0</v>
      </c>
      <c r="M182" s="1">
        <f>E182</f>
        <v>0</v>
      </c>
      <c r="N182" s="1">
        <f>IF(D182,L182/D182,0)</f>
        <v>0</v>
      </c>
      <c r="O182" s="15">
        <f>L182-N182</f>
        <v>0</v>
      </c>
      <c r="P182" s="14">
        <f t="shared" si="54"/>
        <v>0</v>
      </c>
      <c r="Q182" s="1">
        <f>SUM(L182:L183)</f>
        <v>0</v>
      </c>
      <c r="R182" s="15">
        <f>N182+Q183</f>
        <v>0</v>
      </c>
      <c r="S182" s="14">
        <f>N182+H182*O182</f>
        <v>0</v>
      </c>
      <c r="T182" s="1">
        <f t="shared" si="55"/>
        <v>0</v>
      </c>
      <c r="U182" s="1">
        <f>SUM(L182:L183)</f>
        <v>0</v>
      </c>
      <c r="V182" s="1">
        <f>S182+U183</f>
        <v>0</v>
      </c>
    </row>
    <row r="183" spans="1:22" ht="15" thickBot="1">
      <c r="A183" s="40"/>
      <c r="B183" s="28">
        <v>4</v>
      </c>
      <c r="C183" s="6"/>
      <c r="D183" s="7"/>
      <c r="E183" s="7"/>
      <c r="F183" s="7"/>
      <c r="G183" s="22"/>
      <c r="H183" s="23"/>
      <c r="I183" s="24"/>
      <c r="J183" s="24"/>
      <c r="K183" s="24"/>
      <c r="L183" s="16">
        <f>C183</f>
        <v>0</v>
      </c>
      <c r="M183" s="17">
        <f>E183</f>
        <v>0</v>
      </c>
      <c r="N183" s="17">
        <f>IF(D183,L183/D183,0)</f>
        <v>0</v>
      </c>
      <c r="O183" s="18">
        <f>L183-N183</f>
        <v>0</v>
      </c>
      <c r="P183" s="14">
        <f t="shared" si="54"/>
        <v>0</v>
      </c>
      <c r="Q183" s="17">
        <f>SUM(L183:L183)</f>
        <v>0</v>
      </c>
      <c r="R183" s="18">
        <f>N183</f>
        <v>0</v>
      </c>
      <c r="S183" s="16">
        <f>N183+H183*O183</f>
        <v>0</v>
      </c>
      <c r="T183" s="17">
        <f t="shared" si="55"/>
        <v>0</v>
      </c>
      <c r="U183" s="17">
        <f>SUM(L183:L183)</f>
        <v>0</v>
      </c>
      <c r="V183" s="17">
        <f>S183</f>
        <v>0</v>
      </c>
    </row>
    <row r="184" spans="1:22" ht="15" thickBot="1">
      <c r="A184" s="47"/>
      <c r="B184" s="26" t="s">
        <v>38</v>
      </c>
      <c r="C184" s="1" t="s">
        <v>4</v>
      </c>
      <c r="D184" s="1" t="s">
        <v>28</v>
      </c>
      <c r="E184" s="1" t="s">
        <v>265</v>
      </c>
      <c r="F184" s="69" t="s">
        <v>40</v>
      </c>
      <c r="G184" s="1" t="s">
        <v>29</v>
      </c>
      <c r="H184" s="1" t="s">
        <v>23</v>
      </c>
      <c r="I184" s="12" t="s">
        <v>24</v>
      </c>
      <c r="J184" s="12" t="s">
        <v>25</v>
      </c>
      <c r="K184" s="11" t="s">
        <v>19</v>
      </c>
      <c r="L184" s="12" t="s">
        <v>26</v>
      </c>
      <c r="M184" s="12" t="s">
        <v>20</v>
      </c>
      <c r="N184" s="12" t="s">
        <v>21</v>
      </c>
      <c r="O184" s="12" t="s">
        <v>22</v>
      </c>
      <c r="P184" s="13" t="s">
        <v>27</v>
      </c>
      <c r="Q184" s="85" t="s">
        <v>42</v>
      </c>
      <c r="R184" s="85"/>
      <c r="S184" s="85"/>
      <c r="T184" s="31" t="s">
        <v>50</v>
      </c>
      <c r="U184" s="35" t="s">
        <v>47</v>
      </c>
      <c r="V184" s="36" t="s">
        <v>264</v>
      </c>
    </row>
    <row r="185" spans="1:22">
      <c r="A185" s="47"/>
      <c r="B185" s="27" t="s">
        <v>30</v>
      </c>
      <c r="C185" s="8">
        <v>19</v>
      </c>
      <c r="D185" s="1">
        <f>IF(C185,C185+Q179,"")</f>
        <v>547</v>
      </c>
      <c r="E185" s="72">
        <f>IF(C185,C185/D185,"")</f>
        <v>3.4734917733089579E-2</v>
      </c>
      <c r="F185" s="14">
        <f>IF(AND(C185&lt;&gt;"",N177&lt;&gt;""),(M179/F179*E177+M180/F180*D177)/(C185+Q179),"")</f>
        <v>1.8753146542542607</v>
      </c>
      <c r="G185" s="1">
        <f>IF(C185,IF(AND(F179&lt;&gt;0,C177&lt;&gt;0),M180,M180/F180*D177)/(C185+Q180),"")</f>
        <v>1.1180276541943188</v>
      </c>
      <c r="H185" s="1">
        <f>IF(C185,(M181)/(C185+Q181),"")</f>
        <v>0.35897435897435898</v>
      </c>
      <c r="I185" s="1">
        <f>IF(C185,(M182)/(C185+Q182),"")</f>
        <v>0</v>
      </c>
      <c r="J185" s="1">
        <f>IF(C185,(M183)/(C185+Q183),"")</f>
        <v>0</v>
      </c>
      <c r="K185" s="14">
        <f>IF(AND(C185&lt;&gt;"",N177&lt;&gt;""),9.8*N177*LN((C185+Q179)/(C185+R179)),"")</f>
        <v>2427.8708107705929</v>
      </c>
      <c r="L185" s="1">
        <f>IF(C185,9.8*F180*LN((C185+Q180)/(C185+R180)),"")</f>
        <v>4977.5771417505639</v>
      </c>
      <c r="M185" s="1">
        <f>IF(C185,9.8*F181*LN((C185+Q181)/(C185+R181)),"")</f>
        <v>2434.213158815774</v>
      </c>
      <c r="N185" s="1">
        <f>IF(C185,9.8*F182*LN((C185+Q182)/(C185+R182)),"")</f>
        <v>0</v>
      </c>
      <c r="O185" s="1">
        <f>IF(C185,9.8*F183*LN((C185+Q183)/(C185+R183)),"")</f>
        <v>0</v>
      </c>
      <c r="P185" s="15">
        <f>IF(C185,SUM(K185:O185),"")</f>
        <v>9839.6611113369308</v>
      </c>
      <c r="Q185" s="1"/>
      <c r="R185" s="1"/>
      <c r="S185" s="1"/>
      <c r="T185" s="32" t="str">
        <f>IF(OR(F185&lt;1,AND(F185="",G185&lt;1)),"起飞推重比不得小于0，空天飞机除外","")</f>
        <v/>
      </c>
      <c r="U185" s="1"/>
      <c r="V185" s="1"/>
    </row>
    <row r="186" spans="1:22">
      <c r="A186" s="33" t="s">
        <v>47</v>
      </c>
      <c r="B186" s="27" t="s">
        <v>31</v>
      </c>
      <c r="C186" s="9">
        <v>8</v>
      </c>
      <c r="D186" s="1">
        <f>IF(C186,C186+Q179,"")</f>
        <v>536</v>
      </c>
      <c r="E186" s="72">
        <f t="shared" ref="E186:E188" si="56">IF(C186,C186/D186,"")</f>
        <v>1.4925373134328358E-2</v>
      </c>
      <c r="F186" s="14">
        <f>IF(AND(C186&lt;&gt;"",N177&lt;&gt;""),(M179/F179*E177+M180/F180*D177)/(C186+Q179),"")</f>
        <v>1.9138005893229115</v>
      </c>
      <c r="G186" s="1">
        <f>IF(C186,IF(AND(F179&lt;&gt;0,C177&lt;&gt;0),M180,M180/F180*D177)/(C186+Q180),"")</f>
        <v>1.1829461343735745</v>
      </c>
      <c r="H186" s="1">
        <f>IF(C186,(M181)/(C186+Q181),"")</f>
        <v>0.5</v>
      </c>
      <c r="I186" s="1">
        <f>IF(C186,(M182)/(C186+Q182),"")</f>
        <v>0</v>
      </c>
      <c r="J186" s="1">
        <f>IF(C186,(M183)/(C186+Q183),"")</f>
        <v>0</v>
      </c>
      <c r="K186" s="14">
        <f>IF(AND(C186&lt;&gt;"",N177&lt;&gt;""),9.8*N177*LN((C186+Q179)/(C186+R179)),"")</f>
        <v>2505.7638660897214</v>
      </c>
      <c r="L186" s="1">
        <f>IF(C186,9.8*F180*LN((C186+Q180)/(C186+R180)),"")</f>
        <v>5558.8684683310721</v>
      </c>
      <c r="M186" s="1">
        <f>IF(C186,9.8*F181*LN((C186+Q181)/(C186+R181)),"")</f>
        <v>3944.6506605796581</v>
      </c>
      <c r="N186" s="1">
        <f>IF(C186,9.8*F182*LN((C186+Q182)/(C186+R182)),"")</f>
        <v>0</v>
      </c>
      <c r="O186" s="1">
        <f>IF(C186,9.8*F183*LN((C186+Q183)/(C186+R183)),"")</f>
        <v>0</v>
      </c>
      <c r="P186" s="15">
        <f>IF(C186,SUM(K186:O186),"")</f>
        <v>12009.282995000453</v>
      </c>
      <c r="Q186" s="1"/>
      <c r="R186" s="1"/>
      <c r="S186" s="1"/>
      <c r="T186" s="32" t="str">
        <f t="shared" ref="T186:T188" si="57">IF(OR(F186&lt;1,AND(F186="",G186&lt;1)),"起飞推重比不得小于0，空天飞机除外","")</f>
        <v/>
      </c>
      <c r="U186" s="1"/>
      <c r="V186" s="1"/>
    </row>
    <row r="187" spans="1:22">
      <c r="A187" s="40"/>
      <c r="B187" s="27" t="s">
        <v>36</v>
      </c>
      <c r="C187" s="9"/>
      <c r="D187" s="1" t="str">
        <f>IF(C187,C187+Q179,"")</f>
        <v/>
      </c>
      <c r="E187" s="72" t="str">
        <f t="shared" si="56"/>
        <v/>
      </c>
      <c r="F187" s="14" t="str">
        <f>IF(AND(C187&lt;&gt;"",N177&lt;&gt;""),(M179/F179*E177+M180/F180*D177)/(C187+Q179),"")</f>
        <v/>
      </c>
      <c r="G187" s="1" t="str">
        <f>IF(C187,IF(AND(F179&lt;&gt;0,C177&lt;&gt;0),M180,M180/F180*D177)/(C187+Q180),"")</f>
        <v/>
      </c>
      <c r="H187" s="1" t="str">
        <f>IF(C187,(M181)/(C187+Q181),"")</f>
        <v/>
      </c>
      <c r="I187" s="1" t="str">
        <f>IF(C187,(M182)/(C187+Q182),"")</f>
        <v/>
      </c>
      <c r="J187" s="1" t="str">
        <f>IF(C187,(M183)/(C187+Q183),"")</f>
        <v/>
      </c>
      <c r="K187" s="14" t="str">
        <f>IF(AND(C187&lt;&gt;"",N177&lt;&gt;""),9.8*N177*LN((C187+Q179)/(C187+R179)),"")</f>
        <v/>
      </c>
      <c r="L187" s="1" t="str">
        <f>IF(C187,9.8*F180*LN((C187+Q180)/(C187+R180)),"")</f>
        <v/>
      </c>
      <c r="M187" s="1" t="str">
        <f>IF(C187,9.8*F181*LN((C187+Q181)/(C187+R181)),"")</f>
        <v/>
      </c>
      <c r="N187" s="1" t="str">
        <f>IF(C187,9.8*F182*LN((C187+Q182)/(C187+R182)),"")</f>
        <v/>
      </c>
      <c r="O187" s="1" t="str">
        <f>IF(C187,9.8*F183*LN((C187+Q183)/(C187+R183)),"")</f>
        <v/>
      </c>
      <c r="P187" s="15" t="str">
        <f>IF(C187,SUM(K187:O187),"")</f>
        <v/>
      </c>
      <c r="Q187" s="1"/>
      <c r="R187" s="1"/>
      <c r="S187" s="1"/>
      <c r="T187" s="32" t="str">
        <f t="shared" si="57"/>
        <v/>
      </c>
      <c r="U187" s="1"/>
      <c r="V187" s="1"/>
    </row>
    <row r="188" spans="1:22" ht="15" thickBot="1">
      <c r="A188" s="47"/>
      <c r="B188" s="28" t="s">
        <v>5</v>
      </c>
      <c r="C188" s="10"/>
      <c r="D188" s="1" t="str">
        <f>IF(C188,C188+Q179,"")</f>
        <v/>
      </c>
      <c r="E188" s="72" t="str">
        <f t="shared" si="56"/>
        <v/>
      </c>
      <c r="F188" s="14" t="str">
        <f>IF(AND(C188&lt;&gt;"",N177&lt;&gt;""),(M179/F179*E177+M180/F180*D177)/(C188+Q179),"")</f>
        <v/>
      </c>
      <c r="G188" s="1" t="str">
        <f>IF(C188,IF(AND(F179&lt;&gt;0,C177&lt;&gt;0),M180,M180/F180*D177)/(C188+Q180),"")</f>
        <v/>
      </c>
      <c r="H188" s="1" t="str">
        <f>IF(C188,(M181)/(C188+Q181),"")</f>
        <v/>
      </c>
      <c r="I188" s="1" t="str">
        <f>IF(C188,(M182)/(C188+Q182),"")</f>
        <v/>
      </c>
      <c r="J188" s="1" t="str">
        <f>IF(C188,(M183)/(C188+Q183),"")</f>
        <v/>
      </c>
      <c r="K188" s="14" t="str">
        <f>IF(AND(C188&lt;&gt;"",N177&lt;&gt;""),9.8*N177*LN((C188+Q179)/(C188+R179)),"")</f>
        <v/>
      </c>
      <c r="L188" s="1" t="str">
        <f>IF(C188,9.8*F180*LN((C188+Q180)/(C188+R180)),"")</f>
        <v/>
      </c>
      <c r="M188" s="1" t="str">
        <f>IF(C188,9.8*F181*LN((C188+Q181)/(C188+R181)),"")</f>
        <v/>
      </c>
      <c r="N188" s="1" t="str">
        <f>IF(C188,9.8*F182*LN((C188+Q182)/(C188+R182)),"")</f>
        <v/>
      </c>
      <c r="O188" s="1" t="str">
        <f>IF(C188,9.8*F183*LN((C188+Q183)/(C188+R183)),"")</f>
        <v/>
      </c>
      <c r="P188" s="15" t="str">
        <f>IF(C188,SUM(K188:O188),"")</f>
        <v/>
      </c>
      <c r="Q188" s="17"/>
      <c r="R188" s="17"/>
      <c r="S188" s="17"/>
      <c r="T188" s="32" t="str">
        <f t="shared" si="57"/>
        <v/>
      </c>
      <c r="U188" s="1"/>
      <c r="V188" s="1"/>
    </row>
    <row r="189" spans="1:22" ht="15" thickBot="1">
      <c r="A189" s="33" t="s">
        <v>45</v>
      </c>
      <c r="B189" s="26" t="s">
        <v>37</v>
      </c>
      <c r="C189" s="1" t="s">
        <v>9</v>
      </c>
      <c r="D189" s="12" t="s">
        <v>28</v>
      </c>
      <c r="E189" s="12" t="s">
        <v>266</v>
      </c>
      <c r="F189" s="11" t="s">
        <v>40</v>
      </c>
      <c r="G189" s="12" t="s">
        <v>29</v>
      </c>
      <c r="H189" s="12" t="s">
        <v>23</v>
      </c>
      <c r="I189" s="12" t="s">
        <v>24</v>
      </c>
      <c r="J189" s="12" t="s">
        <v>25</v>
      </c>
      <c r="K189" s="11" t="s">
        <v>19</v>
      </c>
      <c r="L189" s="12" t="s">
        <v>26</v>
      </c>
      <c r="M189" s="12" t="s">
        <v>20</v>
      </c>
      <c r="N189" s="12" t="s">
        <v>21</v>
      </c>
      <c r="O189" s="12" t="s">
        <v>22</v>
      </c>
      <c r="P189" s="13" t="s">
        <v>27</v>
      </c>
      <c r="Q189" s="85" t="s">
        <v>42</v>
      </c>
      <c r="R189" s="85"/>
      <c r="S189" s="85"/>
      <c r="T189" s="12" t="s">
        <v>51</v>
      </c>
      <c r="U189" s="37" t="s">
        <v>45</v>
      </c>
      <c r="V189" s="38" t="s">
        <v>48</v>
      </c>
    </row>
    <row r="190" spans="1:22">
      <c r="A190" s="40"/>
      <c r="B190" s="27" t="s">
        <v>30</v>
      </c>
      <c r="C190" s="8"/>
      <c r="D190" s="1" t="str">
        <f>IF(C190,C190+Q179,"")</f>
        <v/>
      </c>
      <c r="E190" s="72" t="str">
        <f>IF(C190,C190/D190,"")</f>
        <v/>
      </c>
      <c r="F190" s="14" t="str">
        <f>IF(AND(C190&lt;&gt;"",N177&lt;&gt;""),(M179/F179*E177+M180/F180*D177)/(C190+U179),"")</f>
        <v/>
      </c>
      <c r="G190" s="1" t="str">
        <f>IF(C190,IF(AND(F179&lt;&gt;0,C177&lt;&gt;0),M180,M180/F180*D177)/(C190+U180),"")</f>
        <v/>
      </c>
      <c r="H190" s="1" t="str">
        <f>IF(C190,(M181)/(C190+U181),"")</f>
        <v/>
      </c>
      <c r="I190" s="1" t="str">
        <f>IF(C190,(M182)/(C190+U182),"")</f>
        <v/>
      </c>
      <c r="J190" s="1" t="str">
        <f>IF(C190,(M183)/(C190+U183),"")</f>
        <v/>
      </c>
      <c r="K190" s="14" t="str">
        <f>IF(AND(C190&lt;&gt;"",N177&lt;&gt;""),9.8*N177*LN((C190+U179)/(C190+V179)),"")</f>
        <v/>
      </c>
      <c r="L190" s="1" t="str">
        <f>IF(C190,9.8*F180*LN((C190+U180)/(C190+V180)),"")</f>
        <v/>
      </c>
      <c r="M190" s="1" t="str">
        <f>IF(C190,9.8*F181*LN((C190+U181)/(C190+V181)),"")</f>
        <v/>
      </c>
      <c r="N190" s="1" t="str">
        <f>IF(C190,9.8*F182*LN((C190+U182)/(C190+V182)),"")</f>
        <v/>
      </c>
      <c r="O190" s="1" t="str">
        <f>IF(C190,9.8*F183*LN((C190+U183)/(C190+V183)),"")</f>
        <v/>
      </c>
      <c r="P190" s="15" t="str">
        <f>IF(C190,SUM(K190:O190),"")</f>
        <v/>
      </c>
      <c r="Q190" s="1"/>
      <c r="R190" s="1"/>
      <c r="S190" s="1"/>
      <c r="T190" s="32" t="str">
        <f>IF(OR(F190&lt;1,AND(F190="",G190&lt;1)),"起飞推重比不得小于0，空天飞机除外","")</f>
        <v/>
      </c>
      <c r="U190" s="1"/>
      <c r="V190" s="1"/>
    </row>
    <row r="191" spans="1:22">
      <c r="A191" s="47"/>
      <c r="B191" s="27" t="s">
        <v>31</v>
      </c>
      <c r="C191" s="9"/>
      <c r="D191" s="1" t="str">
        <f>IF(C191,C191+Q179,"")</f>
        <v/>
      </c>
      <c r="E191" s="72" t="str">
        <f t="shared" ref="E191:E193" si="58">IF(C191,C191/D191,"")</f>
        <v/>
      </c>
      <c r="F191" s="14" t="str">
        <f>IF(AND(C191&lt;&gt;"",N177&lt;&gt;""),(M179/F179*E177+M180/F180*D177)/(C191+U179),"")</f>
        <v/>
      </c>
      <c r="G191" s="1" t="str">
        <f>IF(C191,IF(AND(F179&lt;&gt;0,C177&lt;&gt;0),M180,M180/F180*D177)/(C191+U180),"")</f>
        <v/>
      </c>
      <c r="H191" s="1" t="str">
        <f>IF(C191,(M181)/(C191+U181),"")</f>
        <v/>
      </c>
      <c r="I191" s="1" t="str">
        <f>IF(C191,(M182)/(C191+U182),"")</f>
        <v/>
      </c>
      <c r="J191" s="1" t="str">
        <f>IF(C191,(M183)/(C191+U183),"")</f>
        <v/>
      </c>
      <c r="K191" s="14" t="str">
        <f>IF(AND(C191&lt;&gt;"",N177&lt;&gt;""),9.8*N177*LN((C191+U179)/(C191+V179)),"")</f>
        <v/>
      </c>
      <c r="L191" s="1" t="str">
        <f>IF(C191,9.8*F180*LN((C191+U180)/(C191+V180)),"")</f>
        <v/>
      </c>
      <c r="M191" s="1" t="str">
        <f>IF(C191,9.8*F181*LN((C191+U181)/(C191+V181)),"")</f>
        <v/>
      </c>
      <c r="N191" s="1" t="str">
        <f>IF(C191,9.8*F182*LN((C191+U182)/(C191+V182)),"")</f>
        <v/>
      </c>
      <c r="O191" s="1" t="str">
        <f>IF(C191,9.8*F183*LN((C191+U183)/(C191+V183)),"")</f>
        <v/>
      </c>
      <c r="P191" s="15" t="str">
        <f>IF(C191,SUM(K191:O191),"")</f>
        <v/>
      </c>
      <c r="Q191" s="1"/>
      <c r="R191" s="1"/>
      <c r="S191" s="1"/>
      <c r="T191" s="32" t="str">
        <f t="shared" ref="T191:T193" si="59">IF(OR(F191&lt;1,AND(F191="",G191&lt;1)),"起飞推重比不得小于0，空天飞机除外","")</f>
        <v/>
      </c>
      <c r="U191" s="1"/>
      <c r="V191" s="1"/>
    </row>
    <row r="192" spans="1:22">
      <c r="A192" s="47"/>
      <c r="B192" s="27" t="s">
        <v>32</v>
      </c>
      <c r="C192" s="9"/>
      <c r="D192" s="1" t="str">
        <f>IF(C192,C192+Q179,"")</f>
        <v/>
      </c>
      <c r="E192" s="72" t="str">
        <f t="shared" si="58"/>
        <v/>
      </c>
      <c r="F192" s="14" t="str">
        <f>IF(AND(C192&lt;&gt;"",N177&lt;&gt;""),(M179/F179*E177+M180/F180*D177)/(C192+U179),"")</f>
        <v/>
      </c>
      <c r="G192" s="1" t="str">
        <f>IF(C192,IF(AND(F179&lt;&gt;0,C177&lt;&gt;0),M180,M180/F180*D177)/(C192+U180),"")</f>
        <v/>
      </c>
      <c r="H192" s="1" t="str">
        <f>IF(C192,(M181)/(C192+U181),"")</f>
        <v/>
      </c>
      <c r="I192" s="1" t="str">
        <f>IF(C192,(M182)/(C192+U182),"")</f>
        <v/>
      </c>
      <c r="J192" s="1" t="str">
        <f>IF(C192,(M183)/(C192+U183),"")</f>
        <v/>
      </c>
      <c r="K192" s="14" t="str">
        <f>IF(AND(C192&lt;&gt;"",N177&lt;&gt;""),9.8*N177*LN((C192+U179)/(C192+V179)),"")</f>
        <v/>
      </c>
      <c r="L192" s="1" t="str">
        <f>IF(C192,9.8*F180*LN((C192+U180)/(C192+V180)),"")</f>
        <v/>
      </c>
      <c r="M192" s="1" t="str">
        <f>IF(C192,9.8*F181*LN((C192+U181)/(C192+V181)),"")</f>
        <v/>
      </c>
      <c r="N192" s="1" t="str">
        <f>IF(C192,9.8*F182*LN((C192+U182)/(C192+V182)),"")</f>
        <v/>
      </c>
      <c r="O192" s="1" t="str">
        <f>IF(C192,9.8*F183*LN((C192+U183)/(C192+V183)),"")</f>
        <v/>
      </c>
      <c r="P192" s="15" t="str">
        <f>IF(C192,SUM(K192:O192),"")</f>
        <v/>
      </c>
      <c r="Q192" s="1"/>
      <c r="R192" s="1"/>
      <c r="S192" s="1"/>
      <c r="T192" s="32" t="str">
        <f t="shared" si="59"/>
        <v/>
      </c>
      <c r="U192" s="1"/>
      <c r="V192" s="1"/>
    </row>
    <row r="193" spans="1:22" ht="15" thickBot="1">
      <c r="A193" s="48" t="s">
        <v>46</v>
      </c>
      <c r="B193" s="49" t="s">
        <v>33</v>
      </c>
      <c r="C193" s="50"/>
      <c r="D193" s="25" t="str">
        <f>IF(C193,C193+Q179,"")</f>
        <v/>
      </c>
      <c r="E193" s="73" t="str">
        <f t="shared" si="58"/>
        <v/>
      </c>
      <c r="F193" s="70" t="str">
        <f>IF(AND(C193&lt;&gt;"",N177&lt;&gt;""),(M179/F179*E177+M180/F180*D177)/(C193+U179),"")</f>
        <v/>
      </c>
      <c r="G193" s="25" t="str">
        <f>IF(C193,IF(AND(F179&lt;&gt;0,C177&lt;&gt;0),M180,M180/F180*D177)/(C193+U180),"")</f>
        <v/>
      </c>
      <c r="H193" s="25" t="str">
        <f>IF(C193,(M181)/(C193+U181),"")</f>
        <v/>
      </c>
      <c r="I193" s="25" t="str">
        <f>IF(C193,(M182)/(C193+U182),"")</f>
        <v/>
      </c>
      <c r="J193" s="25" t="str">
        <f>IF(C193,(M183)/(C193+U183),"")</f>
        <v/>
      </c>
      <c r="K193" s="70" t="str">
        <f>IF(AND(C193&lt;&gt;"",N177&lt;&gt;""),9.8*N177*LN((C193+U179)/(C193+V179)),"")</f>
        <v/>
      </c>
      <c r="L193" s="25" t="str">
        <f>IF(C193,9.8*F180*LN((C193+U180)/(C193+V180)),"")</f>
        <v/>
      </c>
      <c r="M193" s="25" t="str">
        <f>IF(C193,9.8*F181*LN((C193+U181)/(C193+V181)),"")</f>
        <v/>
      </c>
      <c r="N193" s="25" t="str">
        <f>IF(C193,9.8*F182*LN((C193+U182)/(C193+V182)),"")</f>
        <v/>
      </c>
      <c r="O193" s="25" t="str">
        <f>IF(C193,9.8*F183*LN((C193+U183)/(C193+V183)),"")</f>
        <v/>
      </c>
      <c r="P193" s="71" t="str">
        <f>IF(C193,SUM(K193:O193),"")</f>
        <v/>
      </c>
      <c r="Q193" s="25"/>
      <c r="R193" s="25"/>
      <c r="S193" s="25"/>
      <c r="T193" s="51" t="str">
        <f t="shared" si="59"/>
        <v/>
      </c>
      <c r="U193" s="25"/>
      <c r="V193" s="25"/>
    </row>
  </sheetData>
  <mergeCells count="81">
    <mergeCell ref="D5:E5"/>
    <mergeCell ref="I5:K5"/>
    <mergeCell ref="M5:O5"/>
    <mergeCell ref="P6:R6"/>
    <mergeCell ref="S6:V6"/>
    <mergeCell ref="D43:E43"/>
    <mergeCell ref="I43:K43"/>
    <mergeCell ref="M43:O43"/>
    <mergeCell ref="P44:R44"/>
    <mergeCell ref="S44:V44"/>
    <mergeCell ref="D62:E62"/>
    <mergeCell ref="I62:K62"/>
    <mergeCell ref="M62:O62"/>
    <mergeCell ref="P63:R63"/>
    <mergeCell ref="Q51:S51"/>
    <mergeCell ref="Q56:S56"/>
    <mergeCell ref="D81:E81"/>
    <mergeCell ref="I81:K81"/>
    <mergeCell ref="M81:O81"/>
    <mergeCell ref="Q70:S70"/>
    <mergeCell ref="Q75:S75"/>
    <mergeCell ref="D100:E100"/>
    <mergeCell ref="I100:K100"/>
    <mergeCell ref="M100:O100"/>
    <mergeCell ref="Q89:S89"/>
    <mergeCell ref="Q94:S94"/>
    <mergeCell ref="D119:E119"/>
    <mergeCell ref="I119:K119"/>
    <mergeCell ref="M119:O119"/>
    <mergeCell ref="Q108:S108"/>
    <mergeCell ref="Q113:S113"/>
    <mergeCell ref="D138:E138"/>
    <mergeCell ref="I138:K138"/>
    <mergeCell ref="M138:O138"/>
    <mergeCell ref="Q127:S127"/>
    <mergeCell ref="Q132:S132"/>
    <mergeCell ref="D157:E157"/>
    <mergeCell ref="I157:K157"/>
    <mergeCell ref="M157:O157"/>
    <mergeCell ref="Q146:S146"/>
    <mergeCell ref="Q151:S151"/>
    <mergeCell ref="D176:E176"/>
    <mergeCell ref="I176:K176"/>
    <mergeCell ref="M176:O176"/>
    <mergeCell ref="Q165:S165"/>
    <mergeCell ref="Q170:S170"/>
    <mergeCell ref="D24:E24"/>
    <mergeCell ref="I24:K24"/>
    <mergeCell ref="M24:O24"/>
    <mergeCell ref="P25:R25"/>
    <mergeCell ref="S25:V25"/>
    <mergeCell ref="L3:M3"/>
    <mergeCell ref="N3:O3"/>
    <mergeCell ref="P3:Q3"/>
    <mergeCell ref="P177:R177"/>
    <mergeCell ref="S177:V177"/>
    <mergeCell ref="P158:R158"/>
    <mergeCell ref="S158:V158"/>
    <mergeCell ref="P139:R139"/>
    <mergeCell ref="S139:V139"/>
    <mergeCell ref="P120:R120"/>
    <mergeCell ref="S120:V120"/>
    <mergeCell ref="P101:R101"/>
    <mergeCell ref="S101:V101"/>
    <mergeCell ref="P82:R82"/>
    <mergeCell ref="S82:V82"/>
    <mergeCell ref="S63:V63"/>
    <mergeCell ref="B3:C3"/>
    <mergeCell ref="D3:E3"/>
    <mergeCell ref="F3:G3"/>
    <mergeCell ref="H3:I3"/>
    <mergeCell ref="J3:K3"/>
    <mergeCell ref="R3:S3"/>
    <mergeCell ref="T3:U3"/>
    <mergeCell ref="V3:W3"/>
    <mergeCell ref="Q184:S184"/>
    <mergeCell ref="Q189:S189"/>
    <mergeCell ref="Q18:S18"/>
    <mergeCell ref="Q32:S32"/>
    <mergeCell ref="Q37:S37"/>
    <mergeCell ref="Q13:S13"/>
  </mergeCells>
  <phoneticPr fontId="1" type="noConversion"/>
  <conditionalFormatting sqref="P9">
    <cfRule type="expression" dxfId="704" priority="202">
      <formula>P9&lt;P8</formula>
    </cfRule>
  </conditionalFormatting>
  <conditionalFormatting sqref="T9">
    <cfRule type="expression" dxfId="703" priority="201">
      <formula>T9&lt;T8</formula>
    </cfRule>
  </conditionalFormatting>
  <conditionalFormatting sqref="L8:V12 D14:D17 D19:D22">
    <cfRule type="expression" dxfId="702" priority="200">
      <formula>ROUND(D8,3)&lt;&gt;D8</formula>
    </cfRule>
  </conditionalFormatting>
  <conditionalFormatting sqref="L8:V12 D14:D17 D19:D22">
    <cfRule type="expression" dxfId="701" priority="198">
      <formula>D8=0</formula>
    </cfRule>
  </conditionalFormatting>
  <conditionalFormatting sqref="L6">
    <cfRule type="expression" dxfId="700" priority="190">
      <formula>ROUND(L6,3)&lt;&gt;L6</formula>
    </cfRule>
    <cfRule type="expression" dxfId="699" priority="195">
      <formula>L6=0</formula>
    </cfRule>
  </conditionalFormatting>
  <conditionalFormatting sqref="Q8">
    <cfRule type="expression" dxfId="698" priority="194">
      <formula>NOT(AND(F8&lt;&gt;0,C6&lt;&gt;0))</formula>
    </cfRule>
  </conditionalFormatting>
  <conditionalFormatting sqref="R8">
    <cfRule type="expression" dxfId="697" priority="193">
      <formula>NOT(AND(F8&lt;&gt;0,C6&lt;&gt;0))</formula>
    </cfRule>
  </conditionalFormatting>
  <conditionalFormatting sqref="U8">
    <cfRule type="expression" dxfId="696" priority="192">
      <formula>NOT(AND(F8&lt;&gt;0,C6&lt;&gt;0))</formula>
    </cfRule>
  </conditionalFormatting>
  <conditionalFormatting sqref="V8">
    <cfRule type="expression" dxfId="695" priority="191">
      <formula>NOT(AND(F8&lt;&gt;0,C6&lt;&gt;0))</formula>
    </cfRule>
  </conditionalFormatting>
  <conditionalFormatting sqref="H6">
    <cfRule type="expression" dxfId="694" priority="189">
      <formula>ROUND(IF(H6="隐藏水印。作者：战犬金龟（贴吧/B站）",1,0),1)</formula>
    </cfRule>
  </conditionalFormatting>
  <conditionalFormatting sqref="N6">
    <cfRule type="expression" dxfId="693" priority="188">
      <formula>ROUND(N6,1)&lt;&gt;N6</formula>
    </cfRule>
  </conditionalFormatting>
  <conditionalFormatting sqref="P47">
    <cfRule type="expression" dxfId="692" priority="187">
      <formula>P47&lt;P46</formula>
    </cfRule>
  </conditionalFormatting>
  <conditionalFormatting sqref="T47">
    <cfRule type="expression" dxfId="691" priority="186">
      <formula>T47&lt;T46</formula>
    </cfRule>
  </conditionalFormatting>
  <conditionalFormatting sqref="L46:V50 D52:D55 D57:D60">
    <cfRule type="expression" dxfId="690" priority="185">
      <formula>ROUND(D46,3)&lt;&gt;D46</formula>
    </cfRule>
  </conditionalFormatting>
  <conditionalFormatting sqref="L46:V50 D52:D55 D57:D60">
    <cfRule type="expression" dxfId="689" priority="183">
      <formula>D46=0</formula>
    </cfRule>
  </conditionalFormatting>
  <conditionalFormatting sqref="L44">
    <cfRule type="expression" dxfId="688" priority="175">
      <formula>ROUND(L44,3)&lt;&gt;L44</formula>
    </cfRule>
    <cfRule type="expression" dxfId="687" priority="180">
      <formula>L44=0</formula>
    </cfRule>
  </conditionalFormatting>
  <conditionalFormatting sqref="Q46">
    <cfRule type="expression" dxfId="686" priority="179">
      <formula>NOT(AND(F46&lt;&gt;0,C44&lt;&gt;0))</formula>
    </cfRule>
  </conditionalFormatting>
  <conditionalFormatting sqref="R46">
    <cfRule type="expression" dxfId="685" priority="178">
      <formula>NOT(AND(F46&lt;&gt;0,C44&lt;&gt;0))</formula>
    </cfRule>
  </conditionalFormatting>
  <conditionalFormatting sqref="U46">
    <cfRule type="expression" dxfId="684" priority="177">
      <formula>NOT(AND(F46&lt;&gt;0,C44&lt;&gt;0))</formula>
    </cfRule>
  </conditionalFormatting>
  <conditionalFormatting sqref="V46">
    <cfRule type="expression" dxfId="683" priority="176">
      <formula>NOT(AND(F46&lt;&gt;0,C44&lt;&gt;0))</formula>
    </cfRule>
  </conditionalFormatting>
  <conditionalFormatting sqref="H44">
    <cfRule type="expression" dxfId="682" priority="174">
      <formula>ROUND(IF(H44="隐藏水印。作者：战犬金龟（贴吧/B站）",1,0),1)</formula>
    </cfRule>
  </conditionalFormatting>
  <conditionalFormatting sqref="N44">
    <cfRule type="expression" dxfId="681" priority="173">
      <formula>ROUND(N44,1)&lt;&gt;N44</formula>
    </cfRule>
  </conditionalFormatting>
  <conditionalFormatting sqref="P66">
    <cfRule type="expression" dxfId="680" priority="172">
      <formula>P66&lt;P65</formula>
    </cfRule>
  </conditionalFormatting>
  <conditionalFormatting sqref="T66">
    <cfRule type="expression" dxfId="679" priority="171">
      <formula>T66&lt;T65</formula>
    </cfRule>
  </conditionalFormatting>
  <conditionalFormatting sqref="L65:V69 D71:D74 D76:D79">
    <cfRule type="expression" dxfId="678" priority="170">
      <formula>ROUND(D65,3)&lt;&gt;D65</formula>
    </cfRule>
  </conditionalFormatting>
  <conditionalFormatting sqref="L65:V69 D71:D74 D76:D79">
    <cfRule type="expression" dxfId="677" priority="168">
      <formula>D65=0</formula>
    </cfRule>
  </conditionalFormatting>
  <conditionalFormatting sqref="L63">
    <cfRule type="expression" dxfId="676" priority="160">
      <formula>ROUND(L63,3)&lt;&gt;L63</formula>
    </cfRule>
    <cfRule type="expression" dxfId="675" priority="165">
      <formula>L63=0</formula>
    </cfRule>
  </conditionalFormatting>
  <conditionalFormatting sqref="Q65">
    <cfRule type="expression" dxfId="674" priority="164">
      <formula>NOT(AND(F65&lt;&gt;0,C63&lt;&gt;0))</formula>
    </cfRule>
  </conditionalFormatting>
  <conditionalFormatting sqref="R65">
    <cfRule type="expression" dxfId="673" priority="163">
      <formula>NOT(AND(F65&lt;&gt;0,C63&lt;&gt;0))</formula>
    </cfRule>
  </conditionalFormatting>
  <conditionalFormatting sqref="U65">
    <cfRule type="expression" dxfId="672" priority="162">
      <formula>NOT(AND(F65&lt;&gt;0,C63&lt;&gt;0))</formula>
    </cfRule>
  </conditionalFormatting>
  <conditionalFormatting sqref="V65">
    <cfRule type="expression" dxfId="671" priority="161">
      <formula>NOT(AND(F65&lt;&gt;0,C63&lt;&gt;0))</formula>
    </cfRule>
  </conditionalFormatting>
  <conditionalFormatting sqref="H63">
    <cfRule type="expression" dxfId="670" priority="159">
      <formula>ROUND(IF(H63="隐藏水印。作者：战犬金龟（贴吧/B站）",1,0),1)</formula>
    </cfRule>
  </conditionalFormatting>
  <conditionalFormatting sqref="N63">
    <cfRule type="expression" dxfId="669" priority="158">
      <formula>ROUND(N63,1)&lt;&gt;N63</formula>
    </cfRule>
  </conditionalFormatting>
  <conditionalFormatting sqref="P85">
    <cfRule type="expression" dxfId="668" priority="157">
      <formula>P85&lt;P84</formula>
    </cfRule>
  </conditionalFormatting>
  <conditionalFormatting sqref="T85">
    <cfRule type="expression" dxfId="667" priority="156">
      <formula>T85&lt;T84</formula>
    </cfRule>
  </conditionalFormatting>
  <conditionalFormatting sqref="L84:V88 D90:D93 D95:D98">
    <cfRule type="expression" dxfId="666" priority="155">
      <formula>ROUND(D84,3)&lt;&gt;D84</formula>
    </cfRule>
  </conditionalFormatting>
  <conditionalFormatting sqref="L84:V88 D90:D93 D95:D98">
    <cfRule type="expression" dxfId="665" priority="153">
      <formula>D84=0</formula>
    </cfRule>
  </conditionalFormatting>
  <conditionalFormatting sqref="L82">
    <cfRule type="expression" dxfId="664" priority="145">
      <formula>ROUND(L82,3)&lt;&gt;L82</formula>
    </cfRule>
    <cfRule type="expression" dxfId="663" priority="150">
      <formula>L82=0</formula>
    </cfRule>
  </conditionalFormatting>
  <conditionalFormatting sqref="Q84">
    <cfRule type="expression" dxfId="662" priority="149">
      <formula>NOT(AND(F84&lt;&gt;0,C82&lt;&gt;0))</formula>
    </cfRule>
  </conditionalFormatting>
  <conditionalFormatting sqref="R84">
    <cfRule type="expression" dxfId="661" priority="148">
      <formula>NOT(AND(F84&lt;&gt;0,C82&lt;&gt;0))</formula>
    </cfRule>
  </conditionalFormatting>
  <conditionalFormatting sqref="U84">
    <cfRule type="expression" dxfId="660" priority="147">
      <formula>NOT(AND(F84&lt;&gt;0,C82&lt;&gt;0))</formula>
    </cfRule>
  </conditionalFormatting>
  <conditionalFormatting sqref="V84">
    <cfRule type="expression" dxfId="659" priority="146">
      <formula>NOT(AND(F84&lt;&gt;0,C82&lt;&gt;0))</formula>
    </cfRule>
  </conditionalFormatting>
  <conditionalFormatting sqref="H82">
    <cfRule type="expression" dxfId="658" priority="144">
      <formula>ROUND(IF(H82="隐藏水印。作者：战犬金龟（贴吧/B站）",1,0),1)</formula>
    </cfRule>
  </conditionalFormatting>
  <conditionalFormatting sqref="N82">
    <cfRule type="expression" dxfId="657" priority="143">
      <formula>ROUND(N82,1)&lt;&gt;N82</formula>
    </cfRule>
  </conditionalFormatting>
  <conditionalFormatting sqref="P104">
    <cfRule type="expression" dxfId="656" priority="142">
      <formula>P104&lt;P103</formula>
    </cfRule>
  </conditionalFormatting>
  <conditionalFormatting sqref="T104">
    <cfRule type="expression" dxfId="655" priority="141">
      <formula>T104&lt;T103</formula>
    </cfRule>
  </conditionalFormatting>
  <conditionalFormatting sqref="L103:V107 D109:D112 D114:D117">
    <cfRule type="expression" dxfId="654" priority="140">
      <formula>ROUND(D103,3)&lt;&gt;D103</formula>
    </cfRule>
  </conditionalFormatting>
  <conditionalFormatting sqref="L103:V107 D109:D112 D114:D117">
    <cfRule type="expression" dxfId="653" priority="138">
      <formula>D103=0</formula>
    </cfRule>
  </conditionalFormatting>
  <conditionalFormatting sqref="L101">
    <cfRule type="expression" dxfId="652" priority="130">
      <formula>ROUND(L101,3)&lt;&gt;L101</formula>
    </cfRule>
    <cfRule type="expression" dxfId="651" priority="135">
      <formula>L101=0</formula>
    </cfRule>
  </conditionalFormatting>
  <conditionalFormatting sqref="Q103">
    <cfRule type="expression" dxfId="650" priority="134">
      <formula>NOT(AND(F103&lt;&gt;0,C101&lt;&gt;0))</formula>
    </cfRule>
  </conditionalFormatting>
  <conditionalFormatting sqref="R103">
    <cfRule type="expression" dxfId="649" priority="133">
      <formula>NOT(AND(F103&lt;&gt;0,C101&lt;&gt;0))</formula>
    </cfRule>
  </conditionalFormatting>
  <conditionalFormatting sqref="U103">
    <cfRule type="expression" dxfId="648" priority="132">
      <formula>NOT(AND(F103&lt;&gt;0,C101&lt;&gt;0))</formula>
    </cfRule>
  </conditionalFormatting>
  <conditionalFormatting sqref="V103">
    <cfRule type="expression" dxfId="647" priority="131">
      <formula>NOT(AND(F103&lt;&gt;0,C101&lt;&gt;0))</formula>
    </cfRule>
  </conditionalFormatting>
  <conditionalFormatting sqref="H101">
    <cfRule type="expression" dxfId="646" priority="129">
      <formula>ROUND(IF(H101="隐藏水印。作者：战犬金龟（贴吧/B站）",1,0),1)</formula>
    </cfRule>
  </conditionalFormatting>
  <conditionalFormatting sqref="N101">
    <cfRule type="expression" dxfId="645" priority="128">
      <formula>ROUND(N101,1)&lt;&gt;N101</formula>
    </cfRule>
  </conditionalFormatting>
  <conditionalFormatting sqref="P123">
    <cfRule type="expression" dxfId="644" priority="127">
      <formula>P123&lt;P122</formula>
    </cfRule>
  </conditionalFormatting>
  <conditionalFormatting sqref="T123">
    <cfRule type="expression" dxfId="643" priority="126">
      <formula>T123&lt;T122</formula>
    </cfRule>
  </conditionalFormatting>
  <conditionalFormatting sqref="L122:V126 D128:D131 D133:D136">
    <cfRule type="expression" dxfId="642" priority="125">
      <formula>ROUND(D122,3)&lt;&gt;D122</formula>
    </cfRule>
  </conditionalFormatting>
  <conditionalFormatting sqref="L122:V126 D128:D131 D133:D136">
    <cfRule type="expression" dxfId="641" priority="123">
      <formula>D122=0</formula>
    </cfRule>
  </conditionalFormatting>
  <conditionalFormatting sqref="L120">
    <cfRule type="expression" dxfId="640" priority="115">
      <formula>ROUND(L120,3)&lt;&gt;L120</formula>
    </cfRule>
    <cfRule type="expression" dxfId="639" priority="120">
      <formula>L120=0</formula>
    </cfRule>
  </conditionalFormatting>
  <conditionalFormatting sqref="Q122">
    <cfRule type="expression" dxfId="638" priority="119">
      <formula>NOT(AND(F122&lt;&gt;0,C120&lt;&gt;0))</formula>
    </cfRule>
  </conditionalFormatting>
  <conditionalFormatting sqref="R122">
    <cfRule type="expression" dxfId="637" priority="118">
      <formula>NOT(AND(F122&lt;&gt;0,C120&lt;&gt;0))</formula>
    </cfRule>
  </conditionalFormatting>
  <conditionalFormatting sqref="U122">
    <cfRule type="expression" dxfId="636" priority="117">
      <formula>NOT(AND(F122&lt;&gt;0,C120&lt;&gt;0))</formula>
    </cfRule>
  </conditionalFormatting>
  <conditionalFormatting sqref="V122">
    <cfRule type="expression" dxfId="635" priority="116">
      <formula>NOT(AND(F122&lt;&gt;0,C120&lt;&gt;0))</formula>
    </cfRule>
  </conditionalFormatting>
  <conditionalFormatting sqref="H120">
    <cfRule type="expression" dxfId="634" priority="114">
      <formula>ROUND(IF(H120="隐藏水印。作者：战犬金龟（贴吧/B站）",1,0),1)</formula>
    </cfRule>
  </conditionalFormatting>
  <conditionalFormatting sqref="N120">
    <cfRule type="expression" dxfId="633" priority="113">
      <formula>ROUND(N120,1)&lt;&gt;N120</formula>
    </cfRule>
  </conditionalFormatting>
  <conditionalFormatting sqref="P142">
    <cfRule type="expression" dxfId="632" priority="112">
      <formula>P142&lt;P141</formula>
    </cfRule>
  </conditionalFormatting>
  <conditionalFormatting sqref="T142">
    <cfRule type="expression" dxfId="631" priority="111">
      <formula>T142&lt;T141</formula>
    </cfRule>
  </conditionalFormatting>
  <conditionalFormatting sqref="L141:V145 D147:D150 D152:D155">
    <cfRule type="expression" dxfId="630" priority="110">
      <formula>ROUND(D141,3)&lt;&gt;D141</formula>
    </cfRule>
  </conditionalFormatting>
  <conditionalFormatting sqref="L141:V145 D147:D150 D152:D155">
    <cfRule type="expression" dxfId="629" priority="108">
      <formula>D141=0</formula>
    </cfRule>
  </conditionalFormatting>
  <conditionalFormatting sqref="L139">
    <cfRule type="expression" dxfId="628" priority="100">
      <formula>ROUND(L139,3)&lt;&gt;L139</formula>
    </cfRule>
    <cfRule type="expression" dxfId="627" priority="105">
      <formula>L139=0</formula>
    </cfRule>
  </conditionalFormatting>
  <conditionalFormatting sqref="Q141">
    <cfRule type="expression" dxfId="626" priority="104">
      <formula>NOT(AND(F141&lt;&gt;0,C139&lt;&gt;0))</formula>
    </cfRule>
  </conditionalFormatting>
  <conditionalFormatting sqref="R141">
    <cfRule type="expression" dxfId="625" priority="103">
      <formula>NOT(AND(F141&lt;&gt;0,C139&lt;&gt;0))</formula>
    </cfRule>
  </conditionalFormatting>
  <conditionalFormatting sqref="U141">
    <cfRule type="expression" dxfId="624" priority="102">
      <formula>NOT(AND(F141&lt;&gt;0,C139&lt;&gt;0))</formula>
    </cfRule>
  </conditionalFormatting>
  <conditionalFormatting sqref="V141">
    <cfRule type="expression" dxfId="623" priority="101">
      <formula>NOT(AND(F141&lt;&gt;0,C139&lt;&gt;0))</formula>
    </cfRule>
  </conditionalFormatting>
  <conditionalFormatting sqref="H139">
    <cfRule type="expression" dxfId="622" priority="99">
      <formula>ROUND(IF(H139="隐藏水印。作者：战犬金龟（贴吧/B站）",1,0),1)</formula>
    </cfRule>
  </conditionalFormatting>
  <conditionalFormatting sqref="N139">
    <cfRule type="expression" dxfId="621" priority="98">
      <formula>ROUND(N139,1)&lt;&gt;N139</formula>
    </cfRule>
  </conditionalFormatting>
  <conditionalFormatting sqref="P161">
    <cfRule type="expression" dxfId="620" priority="97">
      <formula>P161&lt;P160</formula>
    </cfRule>
  </conditionalFormatting>
  <conditionalFormatting sqref="T161">
    <cfRule type="expression" dxfId="619" priority="96">
      <formula>T161&lt;T160</formula>
    </cfRule>
  </conditionalFormatting>
  <conditionalFormatting sqref="L160:V164 D166:D169 D171:D174">
    <cfRule type="expression" dxfId="618" priority="95">
      <formula>ROUND(D160,3)&lt;&gt;D160</formula>
    </cfRule>
  </conditionalFormatting>
  <conditionalFormatting sqref="L160:V164 D166:D169 D171:D174">
    <cfRule type="expression" dxfId="617" priority="93">
      <formula>D160=0</formula>
    </cfRule>
  </conditionalFormatting>
  <conditionalFormatting sqref="L158">
    <cfRule type="expression" dxfId="616" priority="85">
      <formula>ROUND(L158,3)&lt;&gt;L158</formula>
    </cfRule>
    <cfRule type="expression" dxfId="615" priority="90">
      <formula>L158=0</formula>
    </cfRule>
  </conditionalFormatting>
  <conditionalFormatting sqref="Q160">
    <cfRule type="expression" dxfId="614" priority="89">
      <formula>NOT(AND(F160&lt;&gt;0,C158&lt;&gt;0))</formula>
    </cfRule>
  </conditionalFormatting>
  <conditionalFormatting sqref="R160">
    <cfRule type="expression" dxfId="613" priority="88">
      <formula>NOT(AND(F160&lt;&gt;0,C158&lt;&gt;0))</formula>
    </cfRule>
  </conditionalFormatting>
  <conditionalFormatting sqref="U160">
    <cfRule type="expression" dxfId="612" priority="87">
      <formula>NOT(AND(F160&lt;&gt;0,C158&lt;&gt;0))</formula>
    </cfRule>
  </conditionalFormatting>
  <conditionalFormatting sqref="V160">
    <cfRule type="expression" dxfId="611" priority="86">
      <formula>NOT(AND(F160&lt;&gt;0,C158&lt;&gt;0))</formula>
    </cfRule>
  </conditionalFormatting>
  <conditionalFormatting sqref="H158">
    <cfRule type="expression" dxfId="610" priority="84">
      <formula>ROUND(IF(H158="隐藏水印。作者：战犬金龟（贴吧/B站）",1,0),1)</formula>
    </cfRule>
  </conditionalFormatting>
  <conditionalFormatting sqref="N158">
    <cfRule type="expression" dxfId="609" priority="83">
      <formula>ROUND(N158,1)&lt;&gt;N158</formula>
    </cfRule>
  </conditionalFormatting>
  <conditionalFormatting sqref="P180">
    <cfRule type="expression" dxfId="608" priority="82">
      <formula>P180&lt;P179</formula>
    </cfRule>
  </conditionalFormatting>
  <conditionalFormatting sqref="T180">
    <cfRule type="expression" dxfId="607" priority="81">
      <formula>T180&lt;T179</formula>
    </cfRule>
  </conditionalFormatting>
  <conditionalFormatting sqref="L179:V183 D185:D188 D190:D193">
    <cfRule type="expression" dxfId="606" priority="80">
      <formula>ROUND(D179,3)&lt;&gt;D179</formula>
    </cfRule>
  </conditionalFormatting>
  <conditionalFormatting sqref="L179:V183 D185:D188 D190:D193">
    <cfRule type="expression" dxfId="605" priority="78">
      <formula>D179=0</formula>
    </cfRule>
  </conditionalFormatting>
  <conditionalFormatting sqref="L177">
    <cfRule type="expression" dxfId="604" priority="70">
      <formula>ROUND(L177,3)&lt;&gt;L177</formula>
    </cfRule>
    <cfRule type="expression" dxfId="603" priority="75">
      <formula>L177=0</formula>
    </cfRule>
  </conditionalFormatting>
  <conditionalFormatting sqref="Q179">
    <cfRule type="expression" dxfId="602" priority="74">
      <formula>NOT(AND(F179&lt;&gt;0,C177&lt;&gt;0))</formula>
    </cfRule>
  </conditionalFormatting>
  <conditionalFormatting sqref="R179">
    <cfRule type="expression" dxfId="601" priority="73">
      <formula>NOT(AND(F179&lt;&gt;0,C177&lt;&gt;0))</formula>
    </cfRule>
  </conditionalFormatting>
  <conditionalFormatting sqref="U179">
    <cfRule type="expression" dxfId="600" priority="72">
      <formula>NOT(AND(F179&lt;&gt;0,C177&lt;&gt;0))</formula>
    </cfRule>
  </conditionalFormatting>
  <conditionalFormatting sqref="V179">
    <cfRule type="expression" dxfId="599" priority="71">
      <formula>NOT(AND(F179&lt;&gt;0,C177&lt;&gt;0))</formula>
    </cfRule>
  </conditionalFormatting>
  <conditionalFormatting sqref="H177">
    <cfRule type="expression" dxfId="598" priority="69">
      <formula>ROUND(IF(H177="隐藏水印。作者：战犬金龟（贴吧/B站）",1,0),1)</formula>
    </cfRule>
  </conditionalFormatting>
  <conditionalFormatting sqref="N177">
    <cfRule type="expression" dxfId="597" priority="68">
      <formula>ROUND(N177,1)&lt;&gt;N177</formula>
    </cfRule>
  </conditionalFormatting>
  <conditionalFormatting sqref="P28">
    <cfRule type="expression" dxfId="596" priority="67">
      <formula>P28&lt;P27</formula>
    </cfRule>
  </conditionalFormatting>
  <conditionalFormatting sqref="T28">
    <cfRule type="expression" dxfId="595" priority="66">
      <formula>T28&lt;T27</formula>
    </cfRule>
  </conditionalFormatting>
  <conditionalFormatting sqref="L27:V31 D33:D36 D38:D41">
    <cfRule type="expression" dxfId="594" priority="65">
      <formula>ROUND(D27,3)&lt;&gt;D27</formula>
    </cfRule>
  </conditionalFormatting>
  <conditionalFormatting sqref="L27:V31 D33:D36 D38:D41">
    <cfRule type="expression" dxfId="593" priority="63">
      <formula>D27=0</formula>
    </cfRule>
  </conditionalFormatting>
  <conditionalFormatting sqref="L25">
    <cfRule type="expression" dxfId="592" priority="55">
      <formula>ROUND(L25,3)&lt;&gt;L25</formula>
    </cfRule>
    <cfRule type="expression" dxfId="591" priority="60">
      <formula>L25=0</formula>
    </cfRule>
  </conditionalFormatting>
  <conditionalFormatting sqref="Q27">
    <cfRule type="expression" dxfId="590" priority="59">
      <formula>NOT(AND(F27&lt;&gt;0,C25&lt;&gt;0))</formula>
    </cfRule>
  </conditionalFormatting>
  <conditionalFormatting sqref="R27">
    <cfRule type="expression" dxfId="589" priority="58">
      <formula>NOT(AND(F27&lt;&gt;0,C25&lt;&gt;0))</formula>
    </cfRule>
  </conditionalFormatting>
  <conditionalFormatting sqref="U27">
    <cfRule type="expression" dxfId="588" priority="57">
      <formula>NOT(AND(F27&lt;&gt;0,C25&lt;&gt;0))</formula>
    </cfRule>
  </conditionalFormatting>
  <conditionalFormatting sqref="V27">
    <cfRule type="expression" dxfId="587" priority="56">
      <formula>NOT(AND(F27&lt;&gt;0,C25&lt;&gt;0))</formula>
    </cfRule>
  </conditionalFormatting>
  <conditionalFormatting sqref="H25">
    <cfRule type="expression" dxfId="586" priority="54">
      <formula>ROUND(IF(H25="隐藏水印。作者：战犬金龟（贴吧/B站）",1,0),1)</formula>
    </cfRule>
  </conditionalFormatting>
  <conditionalFormatting sqref="N25">
    <cfRule type="expression" dxfId="585" priority="53">
      <formula>ROUND(N25,1)&lt;&gt;N25</formula>
    </cfRule>
  </conditionalFormatting>
  <conditionalFormatting sqref="F14:J17 F19:J22">
    <cfRule type="expression" dxfId="584" priority="52">
      <formula>ROUND(F14,3)&lt;&gt;F14</formula>
    </cfRule>
  </conditionalFormatting>
  <conditionalFormatting sqref="K14:P17 K19:P22">
    <cfRule type="expression" dxfId="583" priority="51">
      <formula>ROUND(K14,1)&lt;&gt;K14</formula>
    </cfRule>
  </conditionalFormatting>
  <conditionalFormatting sqref="F14:P17 F19:P22">
    <cfRule type="expression" dxfId="582" priority="50">
      <formula>F14=0</formula>
    </cfRule>
  </conditionalFormatting>
  <conditionalFormatting sqref="F14:F17 F19:F22">
    <cfRule type="expression" dxfId="581" priority="49">
      <formula>AND(T14&lt;&gt;"",F14&lt;&gt;"")</formula>
    </cfRule>
  </conditionalFormatting>
  <conditionalFormatting sqref="G14:G17 G19:G22">
    <cfRule type="expression" dxfId="580" priority="48">
      <formula>AND(T14&lt;&gt;"",F14="")</formula>
    </cfRule>
  </conditionalFormatting>
  <conditionalFormatting sqref="F33:J36 F38:J41">
    <cfRule type="expression" dxfId="579" priority="47">
      <formula>ROUND(F33,3)&lt;&gt;F33</formula>
    </cfRule>
  </conditionalFormatting>
  <conditionalFormatting sqref="K33:P36 K38:P41">
    <cfRule type="expression" dxfId="578" priority="46">
      <formula>ROUND(K33,1)&lt;&gt;K33</formula>
    </cfRule>
  </conditionalFormatting>
  <conditionalFormatting sqref="F33:P36 F38:P41">
    <cfRule type="expression" dxfId="577" priority="45">
      <formula>F33=0</formula>
    </cfRule>
  </conditionalFormatting>
  <conditionalFormatting sqref="F33:F36 F38:F41">
    <cfRule type="expression" dxfId="576" priority="44">
      <formula>AND(T33&lt;&gt;"",F33&lt;&gt;"")</formula>
    </cfRule>
  </conditionalFormatting>
  <conditionalFormatting sqref="G33:G36 G38:G41">
    <cfRule type="expression" dxfId="575" priority="43">
      <formula>AND(T33&lt;&gt;"",F33="")</formula>
    </cfRule>
  </conditionalFormatting>
  <conditionalFormatting sqref="F52:J55 F57:J60">
    <cfRule type="expression" dxfId="574" priority="42">
      <formula>ROUND(F52,3)&lt;&gt;F52</formula>
    </cfRule>
  </conditionalFormatting>
  <conditionalFormatting sqref="K52:P55 K57:P60">
    <cfRule type="expression" dxfId="573" priority="41">
      <formula>ROUND(K52,1)&lt;&gt;K52</formula>
    </cfRule>
  </conditionalFormatting>
  <conditionalFormatting sqref="F52:P55 F57:P60">
    <cfRule type="expression" dxfId="572" priority="40">
      <formula>F52=0</formula>
    </cfRule>
  </conditionalFormatting>
  <conditionalFormatting sqref="F52:F55 F57:F60">
    <cfRule type="expression" dxfId="571" priority="39">
      <formula>AND(T52&lt;&gt;"",F52&lt;&gt;"")</formula>
    </cfRule>
  </conditionalFormatting>
  <conditionalFormatting sqref="G52:G55 G57:G60">
    <cfRule type="expression" dxfId="570" priority="38">
      <formula>AND(T52&lt;&gt;"",F52="")</formula>
    </cfRule>
  </conditionalFormatting>
  <conditionalFormatting sqref="F71:J74 F76:J79">
    <cfRule type="expression" dxfId="569" priority="37">
      <formula>ROUND(F71,3)&lt;&gt;F71</formula>
    </cfRule>
  </conditionalFormatting>
  <conditionalFormatting sqref="K71:P74 K76:P79">
    <cfRule type="expression" dxfId="568" priority="36">
      <formula>ROUND(K71,1)&lt;&gt;K71</formula>
    </cfRule>
  </conditionalFormatting>
  <conditionalFormatting sqref="F71:P74 F76:P79">
    <cfRule type="expression" dxfId="567" priority="35">
      <formula>F71=0</formula>
    </cfRule>
  </conditionalFormatting>
  <conditionalFormatting sqref="F71:F74 F76:F79">
    <cfRule type="expression" dxfId="566" priority="34">
      <formula>AND(T71&lt;&gt;"",F71&lt;&gt;"")</formula>
    </cfRule>
  </conditionalFormatting>
  <conditionalFormatting sqref="G71:G74 G76:G79">
    <cfRule type="expression" dxfId="565" priority="33">
      <formula>AND(T71&lt;&gt;"",F71="")</formula>
    </cfRule>
  </conditionalFormatting>
  <conditionalFormatting sqref="F90:J93 F95:J98">
    <cfRule type="expression" dxfId="564" priority="32">
      <formula>ROUND(F90,3)&lt;&gt;F90</formula>
    </cfRule>
  </conditionalFormatting>
  <conditionalFormatting sqref="K90:P93 K95:P98">
    <cfRule type="expression" dxfId="563" priority="31">
      <formula>ROUND(K90,1)&lt;&gt;K90</formula>
    </cfRule>
  </conditionalFormatting>
  <conditionalFormatting sqref="F90:P93 F95:P98">
    <cfRule type="expression" dxfId="562" priority="30">
      <formula>F90=0</formula>
    </cfRule>
  </conditionalFormatting>
  <conditionalFormatting sqref="F90:F93 F95:F98">
    <cfRule type="expression" dxfId="561" priority="29">
      <formula>AND(T90&lt;&gt;"",F90&lt;&gt;"")</formula>
    </cfRule>
  </conditionalFormatting>
  <conditionalFormatting sqref="G90:G93 G95:G98">
    <cfRule type="expression" dxfId="560" priority="28">
      <formula>AND(T90&lt;&gt;"",F90="")</formula>
    </cfRule>
  </conditionalFormatting>
  <conditionalFormatting sqref="F109:J112 F114:J117">
    <cfRule type="expression" dxfId="559" priority="27">
      <formula>ROUND(F109,3)&lt;&gt;F109</formula>
    </cfRule>
  </conditionalFormatting>
  <conditionalFormatting sqref="K109:P112 K114:P117">
    <cfRule type="expression" dxfId="558" priority="26">
      <formula>ROUND(K109,1)&lt;&gt;K109</formula>
    </cfRule>
  </conditionalFormatting>
  <conditionalFormatting sqref="F109:P112 F114:P117">
    <cfRule type="expression" dxfId="557" priority="25">
      <formula>F109=0</formula>
    </cfRule>
  </conditionalFormatting>
  <conditionalFormatting sqref="F109:F112 F114:F117">
    <cfRule type="expression" dxfId="556" priority="24">
      <formula>AND(T109&lt;&gt;"",F109&lt;&gt;"")</formula>
    </cfRule>
  </conditionalFormatting>
  <conditionalFormatting sqref="G109:G112 G114:G117">
    <cfRule type="expression" dxfId="555" priority="23">
      <formula>AND(T109&lt;&gt;"",F109="")</formula>
    </cfRule>
  </conditionalFormatting>
  <conditionalFormatting sqref="F128:J131 F133:J136">
    <cfRule type="expression" dxfId="554" priority="22">
      <formula>ROUND(F128,3)&lt;&gt;F128</formula>
    </cfRule>
  </conditionalFormatting>
  <conditionalFormatting sqref="K128:P131 K133:P136">
    <cfRule type="expression" dxfId="553" priority="21">
      <formula>ROUND(K128,1)&lt;&gt;K128</formula>
    </cfRule>
  </conditionalFormatting>
  <conditionalFormatting sqref="F128:P131 F133:P136">
    <cfRule type="expression" dxfId="552" priority="20">
      <formula>F128=0</formula>
    </cfRule>
  </conditionalFormatting>
  <conditionalFormatting sqref="F128:F131 F133:F136">
    <cfRule type="expression" dxfId="551" priority="19">
      <formula>AND(T128&lt;&gt;"",F128&lt;&gt;"")</formula>
    </cfRule>
  </conditionalFormatting>
  <conditionalFormatting sqref="G128:G131 G133:G136">
    <cfRule type="expression" dxfId="550" priority="18">
      <formula>AND(T128&lt;&gt;"",F128="")</formula>
    </cfRule>
  </conditionalFormatting>
  <conditionalFormatting sqref="F147:J150 F152:J155">
    <cfRule type="expression" dxfId="549" priority="17">
      <formula>ROUND(F147,3)&lt;&gt;F147</formula>
    </cfRule>
  </conditionalFormatting>
  <conditionalFormatting sqref="K147:P150 K152:P155">
    <cfRule type="expression" dxfId="548" priority="16">
      <formula>ROUND(K147,1)&lt;&gt;K147</formula>
    </cfRule>
  </conditionalFormatting>
  <conditionalFormatting sqref="F147:P150 F152:P155">
    <cfRule type="expression" dxfId="547" priority="15">
      <formula>F147=0</formula>
    </cfRule>
  </conditionalFormatting>
  <conditionalFormatting sqref="F147:F150 F152:F155">
    <cfRule type="expression" dxfId="546" priority="14">
      <formula>AND(T147&lt;&gt;"",F147&lt;&gt;"")</formula>
    </cfRule>
  </conditionalFormatting>
  <conditionalFormatting sqref="G147:G150 G152:G155">
    <cfRule type="expression" dxfId="545" priority="13">
      <formula>AND(T147&lt;&gt;"",F147="")</formula>
    </cfRule>
  </conditionalFormatting>
  <conditionalFormatting sqref="F166:J169 F171:J174">
    <cfRule type="expression" dxfId="544" priority="12">
      <formula>ROUND(F166,3)&lt;&gt;F166</formula>
    </cfRule>
  </conditionalFormatting>
  <conditionalFormatting sqref="K166:P169 K171:P174">
    <cfRule type="expression" dxfId="543" priority="11">
      <formula>ROUND(K166,1)&lt;&gt;K166</formula>
    </cfRule>
  </conditionalFormatting>
  <conditionalFormatting sqref="F166:P169 F171:P174">
    <cfRule type="expression" dxfId="542" priority="10">
      <formula>F166=0</formula>
    </cfRule>
  </conditionalFormatting>
  <conditionalFormatting sqref="F166:F169 F171:F174">
    <cfRule type="expression" dxfId="541" priority="9">
      <formula>AND(T166&lt;&gt;"",F166&lt;&gt;"")</formula>
    </cfRule>
  </conditionalFormatting>
  <conditionalFormatting sqref="G166:G169 G171:G174">
    <cfRule type="expression" dxfId="540" priority="8">
      <formula>AND(T166&lt;&gt;"",F166="")</formula>
    </cfRule>
  </conditionalFormatting>
  <conditionalFormatting sqref="F185:J188 F190:J193">
    <cfRule type="expression" dxfId="539" priority="7">
      <formula>ROUND(F185,3)&lt;&gt;F185</formula>
    </cfRule>
  </conditionalFormatting>
  <conditionalFormatting sqref="K185:P188 K190:P193">
    <cfRule type="expression" dxfId="538" priority="6">
      <formula>ROUND(K185,1)&lt;&gt;K185</formula>
    </cfRule>
  </conditionalFormatting>
  <conditionalFormatting sqref="F185:P188 F190:P193">
    <cfRule type="expression" dxfId="537" priority="5">
      <formula>F185=0</formula>
    </cfRule>
  </conditionalFormatting>
  <conditionalFormatting sqref="F185:F188 F190:F193">
    <cfRule type="expression" dxfId="536" priority="4">
      <formula>AND(T185&lt;&gt;"",F185&lt;&gt;"")</formula>
    </cfRule>
  </conditionalFormatting>
  <conditionalFormatting sqref="G185:G188 G190:G193">
    <cfRule type="expression" dxfId="535" priority="3">
      <formula>AND(T185&lt;&gt;"",F185="")</formula>
    </cfRule>
  </conditionalFormatting>
  <conditionalFormatting sqref="B3:W3">
    <cfRule type="expression" dxfId="534" priority="1">
      <formula>B3=0</formula>
    </cfRule>
  </conditionalFormatting>
  <hyperlinks>
    <hyperlink ref="I7" r:id="rId1"/>
    <hyperlink ref="I26" r:id="rId2"/>
    <hyperlink ref="I64" r:id="rId3"/>
    <hyperlink ref="I45" r:id="rId4"/>
    <hyperlink ref="I83" r:id="rId5"/>
    <hyperlink ref="I102" r:id="rId6"/>
    <hyperlink ref="I121" r:id="rId7"/>
    <hyperlink ref="I126" r:id="rId8"/>
    <hyperlink ref="I140" r:id="rId9"/>
    <hyperlink ref="I145" r:id="rId10"/>
    <hyperlink ref="I159" r:id="rId11"/>
    <hyperlink ref="I178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2"/>
  <sheetViews>
    <sheetView workbookViewId="0">
      <selection activeCell="W61" sqref="W61"/>
    </sheetView>
  </sheetViews>
  <sheetFormatPr defaultRowHeight="14.4"/>
  <sheetData>
    <row r="1" spans="1:23">
      <c r="A1" s="57" t="s">
        <v>359</v>
      </c>
    </row>
    <row r="3" spans="1:23">
      <c r="A3" s="57" t="s">
        <v>300</v>
      </c>
      <c r="B3" s="92" t="str">
        <f ca="1">HYPERLINK("#A5",INDIRECT("A5"))</f>
        <v>朱雀二号</v>
      </c>
      <c r="C3" s="93"/>
      <c r="D3" s="92" t="str">
        <f ca="1">HYPERLINK("#A24",INDIRECT("A24"))</f>
        <v>元行者一号</v>
      </c>
      <c r="E3" s="93"/>
      <c r="F3" s="92" t="str">
        <f ca="1">HYPERLINK("#A43",INDIRECT("A43"))</f>
        <v>双曲线三号</v>
      </c>
      <c r="G3" s="92"/>
      <c r="H3" s="92" t="str">
        <f ca="1">HYPERLINK("#A62",INDIRECT("A62"))</f>
        <v>天龙2号改进型</v>
      </c>
      <c r="I3" s="93"/>
      <c r="J3" s="92" t="str">
        <f ca="1">HYPERLINK("#A81",INDIRECT("A81"))</f>
        <v>天龙3号</v>
      </c>
      <c r="K3" s="93"/>
      <c r="L3" s="92" t="str">
        <f ca="1">HYPERLINK("#A100",INDIRECT("A100"))</f>
        <v>天龙3号改进型</v>
      </c>
      <c r="M3" s="93"/>
      <c r="N3" s="92" t="str">
        <f ca="1">HYPERLINK("#A119",INDIRECT("A119"))</f>
        <v>天龙3H</v>
      </c>
      <c r="O3" s="93"/>
      <c r="P3" s="92" t="str">
        <f ca="1">HYPERLINK("#A138",INDIRECT("A138"))</f>
        <v>智神星一号</v>
      </c>
      <c r="Q3" s="93"/>
      <c r="R3" s="92" t="str">
        <f ca="1">HYPERLINK("#A157",INDIRECT("A157"))</f>
        <v>力箭三号</v>
      </c>
      <c r="S3" s="93"/>
      <c r="T3" s="92" t="str">
        <f ca="1">HYPERLINK("#A176",INDIRECT("A176"))</f>
        <v>力箭三号重型</v>
      </c>
      <c r="U3" s="93"/>
      <c r="V3" s="92" t="str">
        <f ca="1">HYPERLINK("#A195",INDIRECT("A195"))</f>
        <v>回龙二号</v>
      </c>
      <c r="W3" s="93"/>
    </row>
    <row r="4" spans="1:23" ht="15" thickBot="1"/>
    <row r="5" spans="1:23" ht="15" thickBot="1">
      <c r="A5" s="52" t="s">
        <v>314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316</v>
      </c>
      <c r="B6" s="39"/>
      <c r="C6" s="2">
        <v>0</v>
      </c>
      <c r="D6" s="2">
        <v>286</v>
      </c>
      <c r="E6" s="2">
        <v>0</v>
      </c>
      <c r="F6" s="41"/>
      <c r="G6" s="42"/>
      <c r="H6" s="42"/>
      <c r="I6" s="24" t="s">
        <v>360</v>
      </c>
      <c r="J6" s="24"/>
      <c r="K6" s="24"/>
      <c r="L6" s="55">
        <f>IFERROR(IF(AND(F8&lt;&gt;0,C6&lt;&gt;0),M8/F8*E6+M9/F9*D6,M9/F9*D6),0)</f>
        <v>268.96358024691358</v>
      </c>
      <c r="M6" s="53" t="s">
        <v>45</v>
      </c>
      <c r="N6" s="17" t="str">
        <f>IF(AND(F8&lt;&gt;0,C6&lt;&gt;0),(M8+M9)/(M8/F8+M9/F9),"")</f>
        <v/>
      </c>
      <c r="O6" s="56" t="s">
        <v>46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60" t="s">
        <v>337</v>
      </c>
      <c r="J7" s="24"/>
      <c r="K7" s="24"/>
      <c r="L7" s="11" t="s">
        <v>6</v>
      </c>
      <c r="M7" s="12" t="s">
        <v>69</v>
      </c>
      <c r="N7" s="12" t="s">
        <v>15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16</v>
      </c>
      <c r="U7" s="1" t="s">
        <v>10</v>
      </c>
      <c r="V7" s="1" t="s">
        <v>11</v>
      </c>
    </row>
    <row r="8" spans="1:23">
      <c r="A8" s="40"/>
      <c r="B8" s="27" t="s">
        <v>3</v>
      </c>
      <c r="C8" s="3"/>
      <c r="D8" s="4"/>
      <c r="E8" s="4"/>
      <c r="F8" s="4"/>
      <c r="G8" s="19"/>
      <c r="H8" s="20"/>
      <c r="I8" s="24" t="s">
        <v>341</v>
      </c>
      <c r="J8" s="24"/>
      <c r="K8" s="24"/>
      <c r="L8" s="14">
        <f>C8*C6</f>
        <v>0</v>
      </c>
      <c r="M8" s="1">
        <f>E8*C6</f>
        <v>0</v>
      </c>
      <c r="N8" s="1">
        <f>IF(D8,L8/D8,0)</f>
        <v>0</v>
      </c>
      <c r="O8" s="15">
        <f>L8-N8</f>
        <v>0</v>
      </c>
      <c r="P8" s="14">
        <f>IF(AND(F8&lt;&gt;0,C6&lt;&gt;0),O8/M8*F8/IF(G8,G8,1),0)</f>
        <v>0</v>
      </c>
      <c r="Q8" s="1">
        <f>SUM(L8:L12)</f>
        <v>215</v>
      </c>
      <c r="R8" s="15">
        <f>N8+Q9</f>
        <v>215</v>
      </c>
      <c r="S8" s="14">
        <f>N8+H8*O8</f>
        <v>0</v>
      </c>
      <c r="T8" s="1">
        <f>IF(AND(F8&lt;&gt;0,C6&lt;&gt;0),(1-H8)*O8/M8*F8/IF(G8,G8,1),0)</f>
        <v>0</v>
      </c>
      <c r="U8" s="1">
        <f>SUM(L8:L12)</f>
        <v>215</v>
      </c>
      <c r="V8" s="1">
        <f>S8+U9</f>
        <v>215</v>
      </c>
    </row>
    <row r="9" spans="1:23">
      <c r="A9" s="47"/>
      <c r="B9" s="27">
        <v>1</v>
      </c>
      <c r="C9" s="5">
        <v>165</v>
      </c>
      <c r="D9" s="1">
        <v>11</v>
      </c>
      <c r="E9" s="1">
        <v>304.7</v>
      </c>
      <c r="F9" s="1">
        <v>324</v>
      </c>
      <c r="G9" s="5">
        <v>1</v>
      </c>
      <c r="H9" s="21"/>
      <c r="I9" s="30" t="s">
        <v>383</v>
      </c>
      <c r="J9" s="30"/>
      <c r="K9" s="30"/>
      <c r="L9" s="14">
        <f>C9</f>
        <v>165</v>
      </c>
      <c r="M9" s="1">
        <f>E9</f>
        <v>304.7</v>
      </c>
      <c r="N9" s="1">
        <f>IF(D9,L9/D9,0)</f>
        <v>15</v>
      </c>
      <c r="O9" s="15">
        <f>L9-N9</f>
        <v>150</v>
      </c>
      <c r="P9" s="14">
        <f t="shared" ref="P9:P12" si="0">IF(F9,O9/M9*F9/IF(G9,G9,1),0)</f>
        <v>159.50114867082377</v>
      </c>
      <c r="Q9" s="1">
        <f>IF(F9,SUM(L9:L12)-P8*M9/F9*IF(G9,G9,1),0)</f>
        <v>215</v>
      </c>
      <c r="R9" s="15">
        <f>N9+Q10</f>
        <v>65</v>
      </c>
      <c r="S9" s="14">
        <f>N9+H9*O9</f>
        <v>15</v>
      </c>
      <c r="T9" s="1">
        <f>IF(F9,(1-H9)*O9/M9*F9/IF(G9,G9,1),0)</f>
        <v>159.50114867082377</v>
      </c>
      <c r="U9" s="1">
        <f>IF(F9,SUM(L9:L12)-T8*M9/F9*IF(G9,G9,1),0)</f>
        <v>215</v>
      </c>
      <c r="V9" s="1">
        <f>S9+U10</f>
        <v>65</v>
      </c>
    </row>
    <row r="10" spans="1:23">
      <c r="A10" s="47"/>
      <c r="B10" s="27">
        <v>2</v>
      </c>
      <c r="C10" s="5">
        <v>50</v>
      </c>
      <c r="D10" s="1">
        <v>10</v>
      </c>
      <c r="E10" s="1">
        <v>87.4</v>
      </c>
      <c r="F10" s="1">
        <v>337</v>
      </c>
      <c r="G10" s="5"/>
      <c r="H10" s="21"/>
      <c r="I10" s="30" t="s">
        <v>384</v>
      </c>
      <c r="J10" s="30"/>
      <c r="K10" s="30"/>
      <c r="L10" s="14">
        <f>C10</f>
        <v>50</v>
      </c>
      <c r="M10" s="1">
        <f>E10</f>
        <v>87.4</v>
      </c>
      <c r="N10" s="1">
        <f>IF(D10,L10/D10,0)</f>
        <v>5</v>
      </c>
      <c r="O10" s="15">
        <f>L10-N10</f>
        <v>45</v>
      </c>
      <c r="P10" s="14">
        <f t="shared" si="0"/>
        <v>173.51258581235697</v>
      </c>
      <c r="Q10" s="1">
        <f>SUM(L10:L12)</f>
        <v>50</v>
      </c>
      <c r="R10" s="15">
        <f>N10+Q11</f>
        <v>5</v>
      </c>
      <c r="S10" s="14">
        <f>N10+H10*O10</f>
        <v>5</v>
      </c>
      <c r="T10" s="1">
        <f t="shared" ref="T10:T12" si="1">IF(F10,(1-H10)*O10/M10*F10/IF(G10,G10,1),0)</f>
        <v>173.51258581235697</v>
      </c>
      <c r="U10" s="1">
        <f>SUM(L10:L12)</f>
        <v>50</v>
      </c>
      <c r="V10" s="1">
        <f>S10+U11</f>
        <v>5</v>
      </c>
    </row>
    <row r="11" spans="1:23">
      <c r="A11" s="33" t="s">
        <v>45</v>
      </c>
      <c r="B11" s="27">
        <v>3</v>
      </c>
      <c r="C11" s="5"/>
      <c r="D11" s="1"/>
      <c r="E11" s="1"/>
      <c r="F11" s="1"/>
      <c r="G11" s="5"/>
      <c r="H11" s="21"/>
      <c r="I11" s="30"/>
      <c r="J11" s="30"/>
      <c r="K11" s="30"/>
      <c r="L11" s="14">
        <f>C11</f>
        <v>0</v>
      </c>
      <c r="M11" s="1">
        <f>E11</f>
        <v>0</v>
      </c>
      <c r="N11" s="1">
        <f>IF(D11,L11/D11,0)</f>
        <v>0</v>
      </c>
      <c r="O11" s="15">
        <f>L11-N11</f>
        <v>0</v>
      </c>
      <c r="P11" s="14">
        <f t="shared" si="0"/>
        <v>0</v>
      </c>
      <c r="Q11" s="1">
        <f>SUM(L11:L12)</f>
        <v>0</v>
      </c>
      <c r="R11" s="15">
        <f>N11+Q12</f>
        <v>0</v>
      </c>
      <c r="S11" s="14">
        <f>N11+H11*O11</f>
        <v>0</v>
      </c>
      <c r="T11" s="1">
        <f t="shared" si="1"/>
        <v>0</v>
      </c>
      <c r="U11" s="1">
        <f>SUM(L11:L12)</f>
        <v>0</v>
      </c>
      <c r="V11" s="1">
        <f>S11+U12</f>
        <v>0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24"/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265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85" t="s">
        <v>42</v>
      </c>
      <c r="R13" s="85"/>
      <c r="S13" s="85"/>
      <c r="T13" s="31" t="s">
        <v>50</v>
      </c>
      <c r="U13" s="35" t="s">
        <v>47</v>
      </c>
      <c r="V13" s="36" t="s">
        <v>264</v>
      </c>
    </row>
    <row r="14" spans="1:23">
      <c r="A14" s="47"/>
      <c r="B14" s="27" t="s">
        <v>30</v>
      </c>
      <c r="C14" s="8">
        <v>4</v>
      </c>
      <c r="D14" s="1">
        <f>IF(C14,C14+Q8,"")</f>
        <v>219</v>
      </c>
      <c r="E14" s="72">
        <f>IF(C14,C14/D14,"")</f>
        <v>1.8264840182648401E-2</v>
      </c>
      <c r="F14" s="14" t="str">
        <f>IF(AND(C14&lt;&gt;"",N6&lt;&gt;""),(M8/F8*E6+M9/F9*D6)/(C14+Q8),"")</f>
        <v/>
      </c>
      <c r="G14" s="1">
        <f>IF(C14,IF(AND(F8&lt;&gt;0,C6&lt;&gt;0),M9,M9/F9*D6)/(C14+Q9),"")</f>
        <v>1.2281442020407012</v>
      </c>
      <c r="H14" s="1">
        <f>IF(C14,(M10)/(C14+Q10),"")</f>
        <v>1.6185185185185187</v>
      </c>
      <c r="I14" s="1">
        <f>IF(C14,(M11)/(C14+Q11),"")</f>
        <v>0</v>
      </c>
      <c r="J14" s="1">
        <f>IF(C14,(M12)/(C14+Q12),"")</f>
        <v>0</v>
      </c>
      <c r="K14" s="14" t="str">
        <f>IF(AND(C14&lt;&gt;"",N6&lt;&gt;""),9.8*N6*LN((C14+Q8)/(C14+R8)),"")</f>
        <v/>
      </c>
      <c r="L14" s="1">
        <f>IF(C14,9.8*F9*LN((C14+Q9)/(C14+R9)),"")</f>
        <v>3667.245583116136</v>
      </c>
      <c r="M14" s="1">
        <f>IF(C14,9.8*F10*LN((C14+Q10)/(C14+R10)),"")</f>
        <v>5917.4648230725752</v>
      </c>
      <c r="N14" s="1">
        <f>IF(C14,9.8*F11*LN((C14+Q11)/(C14+R11)),"")</f>
        <v>0</v>
      </c>
      <c r="O14" s="1">
        <f>IF(C14,9.8*F12*LN((C14+Q12)/(C14+R12)),"")</f>
        <v>0</v>
      </c>
      <c r="P14" s="15">
        <f>IF(C14,SUM(K14:O14),"")</f>
        <v>9584.7104061887112</v>
      </c>
      <c r="Q14" s="1" t="s">
        <v>338</v>
      </c>
      <c r="R14" s="1"/>
      <c r="S14" s="1"/>
      <c r="T14" s="32" t="str">
        <f>IF(OR(F14&lt;1,AND(F14="",G14&lt;1)),"起飞推重比不得小于0，空天飞机除外","")</f>
        <v/>
      </c>
      <c r="U14" s="1"/>
      <c r="V14" s="1"/>
    </row>
    <row r="15" spans="1:23">
      <c r="A15" s="33" t="s">
        <v>47</v>
      </c>
      <c r="B15" s="27" t="s">
        <v>31</v>
      </c>
      <c r="C15" s="9"/>
      <c r="D15" s="1" t="str">
        <f>IF(C15,C15+Q8,"")</f>
        <v/>
      </c>
      <c r="E15" s="72" t="str">
        <f t="shared" ref="E15:E17" si="2">IF(C15,C15/D15,"")</f>
        <v/>
      </c>
      <c r="F15" s="14" t="str">
        <f>IF(AND(C15&lt;&gt;"",N6&lt;&gt;""),(M8/F8*E6+M9/F9*D6)/(C15+Q8),"")</f>
        <v/>
      </c>
      <c r="G15" s="1" t="str">
        <f>IF(C15,IF(AND(F8&lt;&gt;0,C6&lt;&gt;0),M9,M9/F9*D6)/(C15+Q9),"")</f>
        <v/>
      </c>
      <c r="H15" s="1" t="str">
        <f>IF(C15,(M10)/(C15+Q10),"")</f>
        <v/>
      </c>
      <c r="I15" s="1" t="str">
        <f>IF(C15,(M11)/(C15+Q11),"")</f>
        <v/>
      </c>
      <c r="J15" s="1" t="str">
        <f>IF(C15,(M12)/(C15+Q12),"")</f>
        <v/>
      </c>
      <c r="K15" s="14" t="str">
        <f>IF(AND(C15&lt;&gt;"",N6&lt;&gt;""),9.8*N6*LN((C15+Q8)/(C15+R8)),"")</f>
        <v/>
      </c>
      <c r="L15" s="1" t="str">
        <f>IF(C15,9.8*F9*LN((C15+Q9)/(C15+R9)),"")</f>
        <v/>
      </c>
      <c r="M15" s="1" t="str">
        <f>IF(C15,9.8*F10*LN((C15+Q10)/(C15+R10)),"")</f>
        <v/>
      </c>
      <c r="N15" s="1" t="str">
        <f>IF(C15,9.8*F11*LN((C15+Q11)/(C15+R11)),"")</f>
        <v/>
      </c>
      <c r="O15" s="1" t="str">
        <f>IF(C15,9.8*F12*LN((C15+Q12)/(C15+R12)),"")</f>
        <v/>
      </c>
      <c r="P15" s="15" t="str">
        <f>IF(C15,SUM(K15:O15),"")</f>
        <v/>
      </c>
      <c r="Q15" s="1" t="s">
        <v>339</v>
      </c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36</v>
      </c>
      <c r="C16" s="9"/>
      <c r="D16" s="1" t="str">
        <f>IF(C16,C16+Q8,"")</f>
        <v/>
      </c>
      <c r="E16" s="72" t="str">
        <f t="shared" si="2"/>
        <v/>
      </c>
      <c r="F16" s="14" t="str">
        <f>IF(AND(C16&lt;&gt;"",N6&lt;&gt;""),(M8/F8*E6+M9/F9*D6)/(C16+Q8),"")</f>
        <v/>
      </c>
      <c r="G16" s="1" t="str">
        <f>IF(C16,IF(AND(F8&lt;&gt;0,C6&lt;&gt;0),M9,M9/F9*D6)/(C16+Q9),"")</f>
        <v/>
      </c>
      <c r="H16" s="1" t="str">
        <f>IF(C16,(M10)/(C16+Q10),"")</f>
        <v/>
      </c>
      <c r="I16" s="1" t="str">
        <f>IF(C16,(M11)/(C16+Q11),"")</f>
        <v/>
      </c>
      <c r="J16" s="1" t="str">
        <f>IF(C16,(M12)/(C16+Q12),"")</f>
        <v/>
      </c>
      <c r="K16" s="14" t="str">
        <f>IF(AND(C16&lt;&gt;"",N6&lt;&gt;""),9.8*N6*LN((C16+Q8)/(C16+R8)),"")</f>
        <v/>
      </c>
      <c r="L16" s="1" t="str">
        <f>IF(C16,9.8*F9*LN((C16+Q9)/(C16+R9)),"")</f>
        <v/>
      </c>
      <c r="M16" s="1" t="str">
        <f>IF(C16,9.8*F10*LN((C16+Q10)/(C16+R10)),"")</f>
        <v/>
      </c>
      <c r="N16" s="1" t="str">
        <f>IF(C16,9.8*F11*LN((C16+Q11)/(C16+R11)),"")</f>
        <v/>
      </c>
      <c r="O16" s="1" t="str">
        <f>IF(C16,9.8*F12*LN((C16+Q12)/(C16+R12)),"")</f>
        <v/>
      </c>
      <c r="P16" s="15" t="str">
        <f>IF(C16,SUM(K16:O16),"")</f>
        <v/>
      </c>
      <c r="Q16" s="1"/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/>
      <c r="D17" s="1" t="str">
        <f>IF(C17,C17+Q8,"")</f>
        <v/>
      </c>
      <c r="E17" s="72" t="str">
        <f t="shared" si="2"/>
        <v/>
      </c>
      <c r="F17" s="14" t="str">
        <f>IF(AND(C17&lt;&gt;"",N6&lt;&gt;""),(M8/F8*E6+M9/F9*D6)/(C17+Q8),"")</f>
        <v/>
      </c>
      <c r="G17" s="1" t="str">
        <f>IF(C17,IF(AND(F8&lt;&gt;0,C6&lt;&gt;0),M9,M9/F9*D6)/(C17+Q9),"")</f>
        <v/>
      </c>
      <c r="H17" s="1" t="str">
        <f>IF(C17,(M10)/(C17+Q10),"")</f>
        <v/>
      </c>
      <c r="I17" s="1" t="str">
        <f>IF(C17,(M11)/(C17+Q11),"")</f>
        <v/>
      </c>
      <c r="J17" s="1" t="str">
        <f>IF(C17,(M12)/(C17+Q12),"")</f>
        <v/>
      </c>
      <c r="K17" s="14" t="str">
        <f>IF(AND(C17&lt;&gt;"",N6&lt;&gt;""),9.8*N6*LN((C17+Q8)/(C17+R8)),"")</f>
        <v/>
      </c>
      <c r="L17" s="1" t="str">
        <f>IF(C17,9.8*F9*LN((C17+Q9)/(C17+R9)),"")</f>
        <v/>
      </c>
      <c r="M17" s="1" t="str">
        <f>IF(C17,9.8*F10*LN((C17+Q10)/(C17+R10)),"")</f>
        <v/>
      </c>
      <c r="N17" s="1" t="str">
        <f>IF(C17,9.8*F11*LN((C17+Q11)/(C17+R11)),"")</f>
        <v/>
      </c>
      <c r="O17" s="1" t="str">
        <f>IF(C17,9.8*F12*LN((C17+Q12)/(C17+R12)),"")</f>
        <v/>
      </c>
      <c r="P17" s="15" t="str">
        <f>IF(C17,SUM(K17:O17),"")</f>
        <v/>
      </c>
      <c r="Q17" s="17"/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9</v>
      </c>
      <c r="D18" s="12" t="s">
        <v>28</v>
      </c>
      <c r="E18" s="12" t="s">
        <v>266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85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/>
      <c r="D19" s="1" t="str">
        <f>IF(C19,C19+Q8,"")</f>
        <v/>
      </c>
      <c r="E19" s="72" t="str">
        <f>IF(C19,C19/D19,"")</f>
        <v/>
      </c>
      <c r="F19" s="14" t="str">
        <f>IF(AND(C19&lt;&gt;"",N6&lt;&gt;""),(M8/F8*E6+M9/F9*D6)/(C19+U8),"")</f>
        <v/>
      </c>
      <c r="G19" s="1" t="str">
        <f>IF(C19,IF(AND(F8&lt;&gt;0,C6&lt;&gt;0),M9,M9/F9*D6)/(C19+U9),"")</f>
        <v/>
      </c>
      <c r="H19" s="1" t="str">
        <f>IF(C19,(M10)/(C19+U10),"")</f>
        <v/>
      </c>
      <c r="I19" s="1" t="str">
        <f>IF(C19,(M11)/(C19+U11),"")</f>
        <v/>
      </c>
      <c r="J19" s="1" t="str">
        <f>IF(C19,(M12)/(C19+U12),"")</f>
        <v/>
      </c>
      <c r="K19" s="14" t="str">
        <f>IF(AND(C19&lt;&gt;"",N6&lt;&gt;""),9.8*N6*LN((C19+U8)/(C19+V8)),"")</f>
        <v/>
      </c>
      <c r="L19" s="1" t="str">
        <f>IF(C19,9.8*F9*LN((C19+U9)/(C19+V9)),"")</f>
        <v/>
      </c>
      <c r="M19" s="1" t="str">
        <f>IF(C19,9.8*F10*LN((C19+U10)/(C19+V10)),"")</f>
        <v/>
      </c>
      <c r="N19" s="1" t="str">
        <f>IF(C19,9.8*F11*LN((C19+U11)/(C19+V11)),"")</f>
        <v/>
      </c>
      <c r="O19" s="1" t="str">
        <f>IF(C19,9.8*F12*LN((C19+U12)/(C19+V12)),"")</f>
        <v/>
      </c>
      <c r="P19" s="15" t="str">
        <f>IF(C19,SUM(K19:O19),"")</f>
        <v/>
      </c>
      <c r="Q19" s="1"/>
      <c r="R19" s="1"/>
      <c r="S19" s="1"/>
      <c r="T19" s="32" t="str">
        <f>IF(OR(F19&lt;1,AND(F19="",G19&lt;1)),"起飞推重比不得小于0，空天飞机除外","")</f>
        <v/>
      </c>
      <c r="U19" s="1"/>
      <c r="V19" s="1"/>
    </row>
    <row r="20" spans="1:22">
      <c r="A20" s="47"/>
      <c r="B20" s="27" t="s">
        <v>31</v>
      </c>
      <c r="C20" s="9"/>
      <c r="D20" s="1" t="str">
        <f>IF(C20,C20+Q8,"")</f>
        <v/>
      </c>
      <c r="E20" s="72" t="str">
        <f t="shared" ref="E20:E22" si="4">IF(C20,C20/D20,"")</f>
        <v/>
      </c>
      <c r="F20" s="14" t="str">
        <f>IF(AND(C20&lt;&gt;"",N6&lt;&gt;""),(M8/F8*E6+M9/F9*D6)/(C20+U8),"")</f>
        <v/>
      </c>
      <c r="G20" s="1" t="str">
        <f>IF(C20,IF(AND(F8&lt;&gt;0,C6&lt;&gt;0),M9,M9/F9*D6)/(C20+U9),"")</f>
        <v/>
      </c>
      <c r="H20" s="1" t="str">
        <f>IF(C20,(M10)/(C20+U10),"")</f>
        <v/>
      </c>
      <c r="I20" s="1" t="str">
        <f>IF(C20,(M11)/(C20+U11),"")</f>
        <v/>
      </c>
      <c r="J20" s="1" t="str">
        <f>IF(C20,(M12)/(C20+U12),"")</f>
        <v/>
      </c>
      <c r="K20" s="14" t="str">
        <f>IF(AND(C20&lt;&gt;"",N6&lt;&gt;""),9.8*N6*LN((C20+U8)/(C20+V8)),"")</f>
        <v/>
      </c>
      <c r="L20" s="1" t="str">
        <f>IF(C20,9.8*F9*LN((C20+U9)/(C20+V9)),"")</f>
        <v/>
      </c>
      <c r="M20" s="1" t="str">
        <f>IF(C20,9.8*F10*LN((C20+U10)/(C20+V10)),"")</f>
        <v/>
      </c>
      <c r="N20" s="1" t="str">
        <f>IF(C20,9.8*F11*LN((C20+U11)/(C20+V11)),"")</f>
        <v/>
      </c>
      <c r="O20" s="1" t="str">
        <f>IF(C20,9.8*F12*LN((C20+U12)/(C20+V12)),"")</f>
        <v/>
      </c>
      <c r="P20" s="15" t="str">
        <f>IF(C20,SUM(K20:O20),"")</f>
        <v/>
      </c>
      <c r="Q20" s="1"/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/>
      <c r="D21" s="1" t="str">
        <f>IF(C21,C21+Q8,"")</f>
        <v/>
      </c>
      <c r="E21" s="72" t="str">
        <f t="shared" si="4"/>
        <v/>
      </c>
      <c r="F21" s="14" t="str">
        <f>IF(AND(C21&lt;&gt;"",N6&lt;&gt;""),(M8/F8*E6+M9/F9*D6)/(C21+U8),"")</f>
        <v/>
      </c>
      <c r="G21" s="1" t="str">
        <f>IF(C21,IF(AND(F8&lt;&gt;0,C6&lt;&gt;0),M9,M9/F9*D6)/(C21+U9),"")</f>
        <v/>
      </c>
      <c r="H21" s="1" t="str">
        <f>IF(C21,(M10)/(C21+U10),"")</f>
        <v/>
      </c>
      <c r="I21" s="1" t="str">
        <f>IF(C21,(M11)/(C21+U11),"")</f>
        <v/>
      </c>
      <c r="J21" s="1" t="str">
        <f>IF(C21,(M12)/(C21+U12),"")</f>
        <v/>
      </c>
      <c r="K21" s="14" t="str">
        <f>IF(AND(C21&lt;&gt;"",N6&lt;&gt;""),9.8*N6*LN((C21+U8)/(C21+V8)),"")</f>
        <v/>
      </c>
      <c r="L21" s="1" t="str">
        <f>IF(C21,9.8*F9*LN((C21+U9)/(C21+V9)),"")</f>
        <v/>
      </c>
      <c r="M21" s="1" t="str">
        <f>IF(C21,9.8*F10*LN((C21+U10)/(C21+V10)),"")</f>
        <v/>
      </c>
      <c r="N21" s="1" t="str">
        <f>IF(C21,9.8*F11*LN((C21+U11)/(C21+V11)),"")</f>
        <v/>
      </c>
      <c r="O21" s="1" t="str">
        <f>IF(C21,9.8*F12*LN((C21+U12)/(C21+V12)),"")</f>
        <v/>
      </c>
      <c r="P21" s="15" t="str">
        <f>IF(C21,SUM(K21:O21),"")</f>
        <v/>
      </c>
      <c r="Q21" s="1"/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46</v>
      </c>
      <c r="B22" s="49" t="s">
        <v>33</v>
      </c>
      <c r="C22" s="50"/>
      <c r="D22" s="25" t="str">
        <f>IF(C22,C22+Q8,"")</f>
        <v/>
      </c>
      <c r="E22" s="73" t="str">
        <f t="shared" si="4"/>
        <v/>
      </c>
      <c r="F22" s="70" t="str">
        <f>IF(AND(C22&lt;&gt;"",N6&lt;&gt;""),(M8/F8*E6+M9/F9*D6)/(C22+U8),"")</f>
        <v/>
      </c>
      <c r="G22" s="25" t="str">
        <f>IF(C22,IF(AND(F8&lt;&gt;0,C6&lt;&gt;0),M9,M9/F9*D6)/(C22+U9),"")</f>
        <v/>
      </c>
      <c r="H22" s="25" t="str">
        <f>IF(C22,(M10)/(C22+U10),"")</f>
        <v/>
      </c>
      <c r="I22" s="25" t="str">
        <f>IF(C22,(M11)/(C22+U11),"")</f>
        <v/>
      </c>
      <c r="J22" s="25" t="str">
        <f>IF(C22,(M12)/(C22+U12),"")</f>
        <v/>
      </c>
      <c r="K22" s="70" t="str">
        <f>IF(AND(C22&lt;&gt;"",N6&lt;&gt;""),9.8*N6*LN((C22+U8)/(C22+V8)),"")</f>
        <v/>
      </c>
      <c r="L22" s="25" t="str">
        <f>IF(C22,9.8*F9*LN((C22+U9)/(C22+V9)),"")</f>
        <v/>
      </c>
      <c r="M22" s="25" t="str">
        <f>IF(C22,9.8*F10*LN((C22+U10)/(C22+V10)),"")</f>
        <v/>
      </c>
      <c r="N22" s="25" t="str">
        <f>IF(C22,9.8*F11*LN((C22+U11)/(C22+V11)),"")</f>
        <v/>
      </c>
      <c r="O22" s="25" t="str">
        <f>IF(C22,9.8*F12*LN((C22+U12)/(C22+V12)),"")</f>
        <v/>
      </c>
      <c r="P22" s="71" t="str">
        <f>IF(C22,SUM(K22:O22),"")</f>
        <v/>
      </c>
      <c r="Q22" s="25"/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315</v>
      </c>
      <c r="B24" s="52"/>
      <c r="C24" s="29" t="s">
        <v>0</v>
      </c>
      <c r="D24" s="90" t="s">
        <v>41</v>
      </c>
      <c r="E24" s="90"/>
      <c r="F24" s="43"/>
      <c r="G24" s="43" t="s">
        <v>321</v>
      </c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319</v>
      </c>
      <c r="B25" s="39"/>
      <c r="C25" s="2">
        <v>0</v>
      </c>
      <c r="D25" s="2">
        <v>291</v>
      </c>
      <c r="E25" s="2">
        <v>0</v>
      </c>
      <c r="F25" s="41"/>
      <c r="G25" s="42" t="s">
        <v>320</v>
      </c>
      <c r="H25" s="42"/>
      <c r="I25" s="24" t="s">
        <v>326</v>
      </c>
      <c r="J25" s="24"/>
      <c r="K25" s="24"/>
      <c r="L25" s="55">
        <f>IFERROR(IF(AND(F27&lt;&gt;0,C25&lt;&gt;0),M27/F27*E25+M28/F28*D25,M28/F28*D25),0)</f>
        <v>629.43211009174308</v>
      </c>
      <c r="M25" s="53" t="s">
        <v>45</v>
      </c>
      <c r="N25" s="17" t="str">
        <f>IF(AND(F27&lt;&gt;0,C25&lt;&gt;0),(M27+M28)/(M27/F27+M28/F28),"")</f>
        <v/>
      </c>
      <c r="O25" s="56" t="s">
        <v>46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1</v>
      </c>
      <c r="D26" s="1" t="s">
        <v>2</v>
      </c>
      <c r="E26" s="1" t="s">
        <v>7</v>
      </c>
      <c r="F26" s="1" t="s">
        <v>8</v>
      </c>
      <c r="G26" s="1" t="s">
        <v>43</v>
      </c>
      <c r="H26" s="1" t="s">
        <v>44</v>
      </c>
      <c r="I26" s="60" t="s">
        <v>340</v>
      </c>
      <c r="J26" s="24"/>
      <c r="K26" s="24"/>
      <c r="L26" s="11" t="s">
        <v>6</v>
      </c>
      <c r="M26" s="12" t="s">
        <v>69</v>
      </c>
      <c r="N26" s="12" t="s">
        <v>15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16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/>
      <c r="D27" s="4"/>
      <c r="E27" s="4"/>
      <c r="F27" s="4"/>
      <c r="G27" s="19"/>
      <c r="H27" s="20"/>
      <c r="I27" s="60" t="str">
        <f>HYPERLINK(":\Reference\元行者一号.jpg","元行者一号.jpg")</f>
        <v>元行者一号.jpg</v>
      </c>
      <c r="J27" s="24"/>
      <c r="K27" s="24"/>
      <c r="L27" s="14">
        <f>C27*C25</f>
        <v>0</v>
      </c>
      <c r="M27" s="1">
        <f>E27*C25</f>
        <v>0</v>
      </c>
      <c r="N27" s="1">
        <f>IF(D27,L27/D27,0)</f>
        <v>0</v>
      </c>
      <c r="O27" s="15">
        <f>L27-N27</f>
        <v>0</v>
      </c>
      <c r="P27" s="14">
        <f>IF(AND(F27&lt;&gt;0,C25&lt;&gt;0),O27/M27*F27/IF(G27,G27,1),0)</f>
        <v>0</v>
      </c>
      <c r="Q27" s="1">
        <f>SUM(L27:L31)</f>
        <v>509</v>
      </c>
      <c r="R27" s="15">
        <f>N27+Q28</f>
        <v>509</v>
      </c>
      <c r="S27" s="14">
        <f>N27+H27*O27</f>
        <v>0</v>
      </c>
      <c r="T27" s="1">
        <f>IF(AND(F27&lt;&gt;0,C25&lt;&gt;0),(1-H27)*O27/M27*F27/IF(G27,G27,1),0)</f>
        <v>0</v>
      </c>
      <c r="U27" s="1">
        <f>SUM(L27:L31)</f>
        <v>509</v>
      </c>
      <c r="V27" s="1">
        <f>S27+U28</f>
        <v>509</v>
      </c>
    </row>
    <row r="28" spans="1:22">
      <c r="A28" s="47"/>
      <c r="B28" s="27">
        <v>1</v>
      </c>
      <c r="C28" s="5">
        <v>414</v>
      </c>
      <c r="D28" s="1">
        <v>12</v>
      </c>
      <c r="E28" s="1">
        <v>707.3</v>
      </c>
      <c r="F28" s="1">
        <v>327</v>
      </c>
      <c r="G28" s="5">
        <v>1</v>
      </c>
      <c r="H28" s="21">
        <v>0.14699999999999999</v>
      </c>
      <c r="I28" s="30" t="s">
        <v>381</v>
      </c>
      <c r="J28" s="30"/>
      <c r="K28" s="30"/>
      <c r="L28" s="14">
        <f>C28</f>
        <v>414</v>
      </c>
      <c r="M28" s="1">
        <f>E28</f>
        <v>707.3</v>
      </c>
      <c r="N28" s="1">
        <f>IF(D28,L28/D28,0)</f>
        <v>34.5</v>
      </c>
      <c r="O28" s="15">
        <f>L28-N28</f>
        <v>379.5</v>
      </c>
      <c r="P28" s="14">
        <f t="shared" ref="P28:P31" si="6">IF(F28,O28/M28*F28/IF(G28,G28,1),0)</f>
        <v>175.4510108864697</v>
      </c>
      <c r="Q28" s="1">
        <f>IF(F28,SUM(L28:L31)-P27*M28/F28*IF(G28,G28,1),0)</f>
        <v>509</v>
      </c>
      <c r="R28" s="15">
        <f>N28+Q29</f>
        <v>129.5</v>
      </c>
      <c r="S28" s="14">
        <f>N28+H28*O28</f>
        <v>90.28649999999999</v>
      </c>
      <c r="T28" s="1">
        <f>IF(F28,(1-H28)*O28/M28*F28/IF(G28,G28,1),0)</f>
        <v>149.65971228615865</v>
      </c>
      <c r="U28" s="1">
        <f>IF(F28,SUM(L28:L31)-T27*M28/F28*IF(G28,G28,1),0)</f>
        <v>509</v>
      </c>
      <c r="V28" s="1">
        <f>S28+U29</f>
        <v>185.28649999999999</v>
      </c>
    </row>
    <row r="29" spans="1:22">
      <c r="A29" s="47"/>
      <c r="B29" s="27">
        <v>2</v>
      </c>
      <c r="C29" s="5">
        <v>95</v>
      </c>
      <c r="D29" s="1">
        <v>11.5</v>
      </c>
      <c r="E29" s="1">
        <v>82.5</v>
      </c>
      <c r="F29" s="1">
        <v>350</v>
      </c>
      <c r="G29" s="5"/>
      <c r="H29" s="21"/>
      <c r="I29" s="30" t="s">
        <v>382</v>
      </c>
      <c r="J29" s="30"/>
      <c r="K29" s="30"/>
      <c r="L29" s="14">
        <f>C29</f>
        <v>95</v>
      </c>
      <c r="M29" s="1">
        <f>E29</f>
        <v>82.5</v>
      </c>
      <c r="N29" s="1">
        <f>IF(D29,L29/D29,0)</f>
        <v>8.2608695652173907</v>
      </c>
      <c r="O29" s="15">
        <f>L29-N29</f>
        <v>86.739130434782609</v>
      </c>
      <c r="P29" s="14">
        <f t="shared" si="6"/>
        <v>367.98418972332013</v>
      </c>
      <c r="Q29" s="1">
        <f>SUM(L29:L31)</f>
        <v>95</v>
      </c>
      <c r="R29" s="15">
        <f>N29+Q30</f>
        <v>8.2608695652173907</v>
      </c>
      <c r="S29" s="14">
        <f>N29+H29*O29</f>
        <v>8.2608695652173907</v>
      </c>
      <c r="T29" s="1">
        <f t="shared" ref="T29:T31" si="7">IF(F29,(1-H29)*O29/M29*F29/IF(G29,G29,1),0)</f>
        <v>367.98418972332013</v>
      </c>
      <c r="U29" s="1">
        <f>SUM(L29:L31)</f>
        <v>95</v>
      </c>
      <c r="V29" s="1">
        <f>S29+U30</f>
        <v>8.2608695652173907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 t="s">
        <v>377</v>
      </c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24" t="s">
        <v>332</v>
      </c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265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264</v>
      </c>
    </row>
    <row r="33" spans="1:22">
      <c r="A33" s="47"/>
      <c r="B33" s="27" t="s">
        <v>30</v>
      </c>
      <c r="C33" s="8">
        <v>13.8</v>
      </c>
      <c r="D33" s="1">
        <f>IF(C33,C33+Q27,"")</f>
        <v>522.79999999999995</v>
      </c>
      <c r="E33" s="72">
        <f>IF(C33,C33/D33,"")</f>
        <v>2.6396327467482789E-2</v>
      </c>
      <c r="F33" s="14" t="str">
        <f>IF(AND(C33&lt;&gt;"",N25&lt;&gt;""),(M27/F27*E25+M28/F28*D25)/(C33+Q27),"")</f>
        <v/>
      </c>
      <c r="G33" s="1">
        <f>IF(C33,IF(AND(F27&lt;&gt;0,C25&lt;&gt;0),M28,M28/F28*D25)/(C33+Q28),"")</f>
        <v>1.2039634852558208</v>
      </c>
      <c r="H33" s="1">
        <f>IF(C33,(M29)/(C33+Q29),"")</f>
        <v>0.75827205882352944</v>
      </c>
      <c r="I33" s="1">
        <f>IF(C33,(M30)/(C33+Q30),"")</f>
        <v>0</v>
      </c>
      <c r="J33" s="1">
        <f>IF(C33,(M31)/(C33+Q31),"")</f>
        <v>0</v>
      </c>
      <c r="K33" s="14" t="str">
        <f>IF(AND(C33&lt;&gt;"",N25&lt;&gt;""),9.8*N25*LN((C33+Q27)/(C33+R27)),"")</f>
        <v/>
      </c>
      <c r="L33" s="1">
        <f>IF(C33,9.8*F28*LN((C33+Q28)/(C33+R28)),"")</f>
        <v>4147.5812599068231</v>
      </c>
      <c r="M33" s="1">
        <f>IF(C33,9.8*F29*LN((C33+Q29)/(C33+R29)),"")</f>
        <v>5473.2712479273305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9620.8525078341536</v>
      </c>
      <c r="Q33" s="1" t="s">
        <v>376</v>
      </c>
      <c r="R33" s="1"/>
      <c r="S33" s="1"/>
      <c r="T33" s="32" t="str">
        <f>IF(OR(F33&lt;1,AND(F33="",G33&lt;1)),"起飞推重比不得小于0，空天飞机除外","")</f>
        <v/>
      </c>
      <c r="U33" s="1"/>
      <c r="V33" s="1"/>
    </row>
    <row r="34" spans="1:22">
      <c r="A34" s="33" t="s">
        <v>47</v>
      </c>
      <c r="B34" s="27" t="s">
        <v>31</v>
      </c>
      <c r="C34" s="9"/>
      <c r="D34" s="1" t="str">
        <f>IF(C34,C34+Q27,"")</f>
        <v/>
      </c>
      <c r="E34" s="72" t="str">
        <f t="shared" ref="E34:E36" si="8">IF(C34,C34/D34,"")</f>
        <v/>
      </c>
      <c r="F34" s="14" t="str">
        <f>IF(AND(C34&lt;&gt;"",N25&lt;&gt;""),(M27/F27*E25+M28/F28*D25)/(C34+Q27),"")</f>
        <v/>
      </c>
      <c r="G34" s="1" t="str">
        <f>IF(C34,IF(AND(F27&lt;&gt;0,C25&lt;&gt;0),M28,M28/F28*D25)/(C34+Q28),"")</f>
        <v/>
      </c>
      <c r="H34" s="1" t="str">
        <f>IF(C34,(M29)/(C34+Q29),"")</f>
        <v/>
      </c>
      <c r="I34" s="1" t="str">
        <f>IF(C34,(M30)/(C34+Q30),"")</f>
        <v/>
      </c>
      <c r="J34" s="1" t="str">
        <f>IF(C34,(M31)/(C34+Q31),"")</f>
        <v/>
      </c>
      <c r="K34" s="14" t="str">
        <f>IF(AND(C34&lt;&gt;"",N25&lt;&gt;""),9.8*N25*LN((C34+Q27)/(C34+R27)),"")</f>
        <v/>
      </c>
      <c r="L34" s="1" t="str">
        <f>IF(C34,9.8*F28*LN((C34+Q28)/(C34+R28)),"")</f>
        <v/>
      </c>
      <c r="M34" s="1" t="str">
        <f>IF(C34,9.8*F29*LN((C34+Q29)/(C34+R29)),"")</f>
        <v/>
      </c>
      <c r="N34" s="1" t="str">
        <f>IF(C34,9.8*F30*LN((C34+Q30)/(C34+R30)),"")</f>
        <v/>
      </c>
      <c r="O34" s="1" t="str">
        <f>IF(C34,9.8*F31*LN((C34+Q31)/(C34+R31)),"")</f>
        <v/>
      </c>
      <c r="P34" s="15" t="str">
        <f>IF(C34,SUM(K34:O34),"")</f>
        <v/>
      </c>
      <c r="Q34" s="1"/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36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>
        <v>6.5</v>
      </c>
      <c r="D36" s="1">
        <f>IF(C36,C36+Q27,"")</f>
        <v>515.5</v>
      </c>
      <c r="E36" s="72">
        <f t="shared" si="8"/>
        <v>1.2609117361784675E-2</v>
      </c>
      <c r="F36" s="14" t="str">
        <f>IF(AND(C36&lt;&gt;"",N25&lt;&gt;""),(M27/F27*E25+M28/F28*D25)/(C36+Q27),"")</f>
        <v/>
      </c>
      <c r="G36" s="1">
        <f>IF(C36,IF(AND(F27&lt;&gt;0,C25&lt;&gt;0),M28,M28/F28*D25)/(C36+Q28),"")</f>
        <v>1.221012822680394</v>
      </c>
      <c r="H36" s="1">
        <f>IF(C36,(M29)/(C36+Q29),"")</f>
        <v>0.81280788177339902</v>
      </c>
      <c r="I36" s="1">
        <f>IF(C36,(M30)/(C36+Q30),"")</f>
        <v>0</v>
      </c>
      <c r="J36" s="1">
        <f>IF(C36,(M31)/(C36+Q31),"")</f>
        <v>0</v>
      </c>
      <c r="K36" s="14" t="str">
        <f>IF(AND(C36&lt;&gt;"",N25&lt;&gt;""),9.8*N25*LN((C36+Q27)/(C36+R27)),"")</f>
        <v/>
      </c>
      <c r="L36" s="1">
        <f>IF(C36,9.8*F28*LN((C36+Q28)/(C36+R28)),"")</f>
        <v>4270.073155828597</v>
      </c>
      <c r="M36" s="1">
        <f>IF(C36,9.8*F29*LN((C36+Q29)/(C36+R29)),"")</f>
        <v>6613.3112012239872</v>
      </c>
      <c r="N36" s="1">
        <f>IF(C36,9.8*F30*LN((C36+Q30)/(C36+R30)),"")</f>
        <v>0</v>
      </c>
      <c r="O36" s="1">
        <f>IF(C36,9.8*F31*LN((C36+Q31)/(C36+R31)),"")</f>
        <v>0</v>
      </c>
      <c r="P36" s="15">
        <f>IF(C36,SUM(K36:O36),"")</f>
        <v>10883.384357052584</v>
      </c>
      <c r="Q36" s="64" t="s">
        <v>323</v>
      </c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54</v>
      </c>
      <c r="D37" s="12" t="s">
        <v>28</v>
      </c>
      <c r="E37" s="12" t="s">
        <v>266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>
        <v>7.3</v>
      </c>
      <c r="D38" s="1">
        <f>IF(C38,C38+Q27,"")</f>
        <v>516.29999999999995</v>
      </c>
      <c r="E38" s="72">
        <f>IF(C38,C38/D38,"")</f>
        <v>1.4139066434243657E-2</v>
      </c>
      <c r="F38" s="14" t="str">
        <f>IF(AND(C38&lt;&gt;"",N25&lt;&gt;""),(M27/F27*E25+M28/F28*D25)/(C38+U27),"")</f>
        <v/>
      </c>
      <c r="G38" s="1">
        <f>IF(C38,IF(AND(F27&lt;&gt;0,C25&lt;&gt;0),M28,M28/F28*D25)/(C38+U28),"")</f>
        <v>1.2191208795114141</v>
      </c>
      <c r="H38" s="1">
        <f>IF(C38,(M29)/(C38+U29),"")</f>
        <v>0.80645161290322587</v>
      </c>
      <c r="I38" s="1">
        <f>IF(C38,(M30)/(C38+U30),"")</f>
        <v>0</v>
      </c>
      <c r="J38" s="1">
        <f>IF(C38,(M31)/(C38+U31),"")</f>
        <v>0</v>
      </c>
      <c r="K38" s="14" t="str">
        <f>IF(AND(C38&lt;&gt;"",N25&lt;&gt;""),9.8*N25*LN((C38+U27)/(C38+V27)),"")</f>
        <v/>
      </c>
      <c r="L38" s="1">
        <f>IF(C38,9.8*F28*LN((C38+U28)/(C38+V28)),"")</f>
        <v>3160.1925389025932</v>
      </c>
      <c r="M38" s="1">
        <f>IF(C38,9.8*F29*LN((C38+U29)/(C38+V29)),"")</f>
        <v>6459.2054299235942</v>
      </c>
      <c r="N38" s="1">
        <f>IF(C38,9.8*F30*LN((C38+U30)/(C38+V30)),"")</f>
        <v>0</v>
      </c>
      <c r="O38" s="1">
        <f>IF(C38,9.8*F31*LN((C38+U31)/(C38+V31)),"")</f>
        <v>0</v>
      </c>
      <c r="P38" s="15">
        <f>IF(C38,SUM(K38:O38),"")</f>
        <v>9619.3979688261879</v>
      </c>
      <c r="Q38" s="1"/>
      <c r="R38" s="1"/>
      <c r="S38" s="1"/>
      <c r="T38" s="32" t="str">
        <f>IF(OR(F38&lt;1,AND(F38="",G38&lt;1)),"起飞推重比不得小于0，空天飞机除外","")</f>
        <v/>
      </c>
      <c r="U38" s="1"/>
      <c r="V38" s="1"/>
    </row>
    <row r="39" spans="1:22">
      <c r="A39" s="47"/>
      <c r="B39" s="27" t="s">
        <v>31</v>
      </c>
      <c r="C39" s="9"/>
      <c r="D39" s="1" t="str">
        <f>IF(C39,C39+Q27,"")</f>
        <v/>
      </c>
      <c r="E39" s="72" t="str">
        <f t="shared" ref="E39:E41" si="10">IF(C39,C39/D39,"")</f>
        <v/>
      </c>
      <c r="F39" s="14" t="str">
        <f>IF(AND(C39&lt;&gt;"",N25&lt;&gt;""),(M27/F27*E25+M28/F28*D25)/(C39+U27),"")</f>
        <v/>
      </c>
      <c r="G39" s="1" t="str">
        <f>IF(C39,IF(AND(F27&lt;&gt;0,C25&lt;&gt;0),M28,M28/F28*D25)/(C39+U28),"")</f>
        <v/>
      </c>
      <c r="H39" s="1" t="str">
        <f>IF(C39,(M29)/(C39+U29),"")</f>
        <v/>
      </c>
      <c r="I39" s="1" t="str">
        <f>IF(C39,(M30)/(C39+U30),"")</f>
        <v/>
      </c>
      <c r="J39" s="1" t="str">
        <f>IF(C39,(M31)/(C39+U31),"")</f>
        <v/>
      </c>
      <c r="K39" s="14" t="str">
        <f>IF(AND(C39&lt;&gt;"",N25&lt;&gt;""),9.8*N25*LN((C39+U27)/(C39+V27)),"")</f>
        <v/>
      </c>
      <c r="L39" s="1" t="str">
        <f>IF(C39,9.8*F28*LN((C39+U28)/(C39+V28)),"")</f>
        <v/>
      </c>
      <c r="M39" s="1" t="str">
        <f>IF(C39,9.8*F29*LN((C39+U29)/(C39+V29)),"")</f>
        <v/>
      </c>
      <c r="N39" s="1" t="str">
        <f>IF(C39,9.8*F30*LN((C39+U30)/(C39+V30)),"")</f>
        <v/>
      </c>
      <c r="O39" s="1" t="str">
        <f>IF(C39,9.8*F31*LN((C39+U31)/(C39+V31)),"")</f>
        <v/>
      </c>
      <c r="P39" s="15" t="str">
        <f>IF(C39,SUM(K39:O39),"")</f>
        <v/>
      </c>
      <c r="Q39" s="1"/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/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46</v>
      </c>
      <c r="B41" s="49" t="s">
        <v>33</v>
      </c>
      <c r="C41" s="50">
        <v>2.2000000000000002</v>
      </c>
      <c r="D41" s="25">
        <f>IF(C41,C41+Q27,"")</f>
        <v>511.2</v>
      </c>
      <c r="E41" s="73">
        <f t="shared" si="10"/>
        <v>4.3035993740219098E-3</v>
      </c>
      <c r="F41" s="70" t="str">
        <f>IF(AND(C41&lt;&gt;"",N25&lt;&gt;""),(M27/F27*E25+M28/F28*D25)/(C41+U27),"")</f>
        <v/>
      </c>
      <c r="G41" s="25">
        <f>IF(C41,IF(AND(F27&lt;&gt;0,C25&lt;&gt;0),M28,M28/F28*D25)/(C41+U28),"")</f>
        <v>1.2312834704455069</v>
      </c>
      <c r="H41" s="25">
        <f>IF(C41,(M29)/(C41+U29),"")</f>
        <v>0.84876543209876543</v>
      </c>
      <c r="I41" s="25">
        <f>IF(C41,(M30)/(C41+U30),"")</f>
        <v>0</v>
      </c>
      <c r="J41" s="25">
        <f>IF(C41,(M31)/(C41+U31),"")</f>
        <v>0</v>
      </c>
      <c r="K41" s="70" t="str">
        <f>IF(AND(C41&lt;&gt;"",N25&lt;&gt;""),9.8*N25*LN((C41+U27)/(C41+V27)),"")</f>
        <v/>
      </c>
      <c r="L41" s="25">
        <f>IF(C41,9.8*F28*LN((C41+U28)/(C41+V28)),"")</f>
        <v>3214.387041461076</v>
      </c>
      <c r="M41" s="25">
        <f>IF(C41,9.8*F29*LN((C41+U29)/(C41+V29)),"")</f>
        <v>7645.9128948225307</v>
      </c>
      <c r="N41" s="25">
        <f>IF(C41,9.8*F30*LN((C41+U30)/(C41+V30)),"")</f>
        <v>0</v>
      </c>
      <c r="O41" s="25">
        <f>IF(C41,9.8*F31*LN((C41+U31)/(C41+V31)),"")</f>
        <v>0</v>
      </c>
      <c r="P41" s="71">
        <f>IF(C41,SUM(K41:O41),"")</f>
        <v>10860.299936283607</v>
      </c>
      <c r="Q41" s="76" t="s">
        <v>322</v>
      </c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324</v>
      </c>
      <c r="B43" s="52"/>
      <c r="C43" s="29" t="s">
        <v>0</v>
      </c>
      <c r="D43" s="90" t="s">
        <v>41</v>
      </c>
      <c r="E43" s="90"/>
      <c r="F43" s="43"/>
      <c r="G43" s="43"/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325</v>
      </c>
      <c r="B44" s="39"/>
      <c r="C44" s="2">
        <v>0</v>
      </c>
      <c r="D44" s="2">
        <v>290</v>
      </c>
      <c r="E44" s="2">
        <v>0</v>
      </c>
      <c r="F44" s="41"/>
      <c r="G44" s="42"/>
      <c r="H44" s="42"/>
      <c r="I44" s="24" t="s">
        <v>361</v>
      </c>
      <c r="J44" s="24"/>
      <c r="K44" s="24"/>
      <c r="L44" s="55">
        <f>IFERROR(IF(AND(F46&lt;&gt;0,C44&lt;&gt;0),M46/F46*E44+M47/F47*D44,M47/F47*D44),0)</f>
        <v>783</v>
      </c>
      <c r="M44" s="53" t="s">
        <v>45</v>
      </c>
      <c r="N44" s="17" t="str">
        <f>IF(AND(F46&lt;&gt;0,C44&lt;&gt;0),(M46+M47)/(M46/F46+M47/F47),"")</f>
        <v/>
      </c>
      <c r="O44" s="56" t="s">
        <v>46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1</v>
      </c>
      <c r="D45" s="1" t="s">
        <v>2</v>
      </c>
      <c r="E45" s="1" t="s">
        <v>7</v>
      </c>
      <c r="F45" s="1" t="s">
        <v>8</v>
      </c>
      <c r="G45" s="1" t="s">
        <v>43</v>
      </c>
      <c r="H45" s="1" t="s">
        <v>44</v>
      </c>
      <c r="I45" s="60" t="s">
        <v>344</v>
      </c>
      <c r="J45" s="24"/>
      <c r="K45" s="24"/>
      <c r="L45" s="11" t="s">
        <v>6</v>
      </c>
      <c r="M45" s="12" t="s">
        <v>69</v>
      </c>
      <c r="N45" s="12" t="s">
        <v>15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16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/>
      <c r="D46" s="4"/>
      <c r="E46" s="4"/>
      <c r="F46" s="4"/>
      <c r="G46" s="19"/>
      <c r="H46" s="20"/>
      <c r="I46" s="60" t="str">
        <f>HYPERLINK(":\Reference\双曲线三号.jpg","双曲线三号.jpg")</f>
        <v>双曲线三号.jpg</v>
      </c>
      <c r="J46" s="24"/>
      <c r="K46" s="24"/>
      <c r="L46" s="14">
        <f>C46*C44</f>
        <v>0</v>
      </c>
      <c r="M46" s="1">
        <f>E46*C44</f>
        <v>0</v>
      </c>
      <c r="N46" s="1">
        <f>IF(D46,L46/D46,0)</f>
        <v>0</v>
      </c>
      <c r="O46" s="15">
        <f>L46-N46</f>
        <v>0</v>
      </c>
      <c r="P46" s="14">
        <f>IF(AND(F46&lt;&gt;0,C44&lt;&gt;0),O46/M46*F46/IF(G46,G46,1),0)</f>
        <v>0</v>
      </c>
      <c r="Q46" s="1">
        <f>SUM(L46:L50)</f>
        <v>481.5</v>
      </c>
      <c r="R46" s="15">
        <f>N46+Q47</f>
        <v>481.5</v>
      </c>
      <c r="S46" s="14">
        <f>N46+H46*O46</f>
        <v>0</v>
      </c>
      <c r="T46" s="1">
        <f>IF(AND(F46&lt;&gt;0,C44&lt;&gt;0),(1-H46)*O46/M46*F46/IF(G46,G46,1),0)</f>
        <v>0</v>
      </c>
      <c r="U46" s="1">
        <f>SUM(L46:L50)</f>
        <v>481.5</v>
      </c>
      <c r="V46" s="1">
        <f>S46+U47</f>
        <v>481.5</v>
      </c>
    </row>
    <row r="47" spans="1:22">
      <c r="A47" s="47"/>
      <c r="B47" s="27">
        <v>1</v>
      </c>
      <c r="C47" s="5">
        <v>371.5</v>
      </c>
      <c r="D47" s="1">
        <v>12</v>
      </c>
      <c r="E47" s="1">
        <v>877.5</v>
      </c>
      <c r="F47" s="31">
        <v>325</v>
      </c>
      <c r="G47" s="5"/>
      <c r="H47" s="21">
        <v>0.14799999999999999</v>
      </c>
      <c r="I47" s="30" t="s">
        <v>655</v>
      </c>
      <c r="J47" s="30"/>
      <c r="K47" s="30"/>
      <c r="L47" s="14">
        <f>C47</f>
        <v>371.5</v>
      </c>
      <c r="M47" s="1">
        <f>E47</f>
        <v>877.5</v>
      </c>
      <c r="N47" s="1">
        <f>IF(D47,L47/D47,0)</f>
        <v>30.958333333333332</v>
      </c>
      <c r="O47" s="15">
        <f>L47-N47</f>
        <v>340.54166666666669</v>
      </c>
      <c r="P47" s="14">
        <f t="shared" ref="P47:P50" si="12">IF(F47,O47/M47*F47/IF(G47,G47,1),0)</f>
        <v>126.12654320987654</v>
      </c>
      <c r="Q47" s="1">
        <f>IF(F47,SUM(L47:L50)-P46*M47/F47*IF(G47,G47,1),0)</f>
        <v>481.5</v>
      </c>
      <c r="R47" s="15">
        <f>N47+Q48</f>
        <v>140.95833333333334</v>
      </c>
      <c r="S47" s="14">
        <f>N47+H47*O47</f>
        <v>81.358499999999992</v>
      </c>
      <c r="T47" s="1">
        <f>IF(F47,(1-H47)*O47/M47*F47/IF(G47,G47,1),0)</f>
        <v>107.45981481481481</v>
      </c>
      <c r="U47" s="1">
        <f>IF(F47,SUM(L47:L50)-T46*M47/F47*IF(G47,G47,1),0)</f>
        <v>481.5</v>
      </c>
      <c r="V47" s="1">
        <f>S47+U48</f>
        <v>191.35849999999999</v>
      </c>
    </row>
    <row r="48" spans="1:22">
      <c r="A48" s="47"/>
      <c r="B48" s="27">
        <v>2</v>
      </c>
      <c r="C48" s="5">
        <v>110</v>
      </c>
      <c r="D48" s="1">
        <v>11.5</v>
      </c>
      <c r="E48" s="1">
        <v>105</v>
      </c>
      <c r="F48" s="31">
        <v>350</v>
      </c>
      <c r="G48" s="5"/>
      <c r="H48" s="21"/>
      <c r="I48" s="30" t="s">
        <v>392</v>
      </c>
      <c r="J48" s="30"/>
      <c r="K48" s="30"/>
      <c r="L48" s="14">
        <f>C48</f>
        <v>110</v>
      </c>
      <c r="M48" s="1">
        <f>E48</f>
        <v>105</v>
      </c>
      <c r="N48" s="1">
        <f>IF(D48,L48/D48,0)</f>
        <v>9.5652173913043477</v>
      </c>
      <c r="O48" s="15">
        <f>L48-N48</f>
        <v>100.43478260869566</v>
      </c>
      <c r="P48" s="14">
        <f t="shared" si="12"/>
        <v>334.78260869565219</v>
      </c>
      <c r="Q48" s="1">
        <f>SUM(L48:L50)</f>
        <v>110</v>
      </c>
      <c r="R48" s="15">
        <f>N48+Q49</f>
        <v>9.5652173913043477</v>
      </c>
      <c r="S48" s="14">
        <f>N48+H48*O48</f>
        <v>9.5652173913043477</v>
      </c>
      <c r="T48" s="1">
        <f t="shared" ref="T48:T50" si="13">IF(F48,(1-H48)*O48/M48*F48/IF(G48,G48,1),0)</f>
        <v>334.78260869565219</v>
      </c>
      <c r="U48" s="1">
        <f>SUM(L48:L50)</f>
        <v>110</v>
      </c>
      <c r="V48" s="1">
        <f>S48+U49</f>
        <v>9.5652173913043477</v>
      </c>
    </row>
    <row r="49" spans="1:22">
      <c r="A49" s="33" t="s">
        <v>45</v>
      </c>
      <c r="B49" s="27">
        <v>3</v>
      </c>
      <c r="C49" s="5"/>
      <c r="D49" s="1"/>
      <c r="E49" s="1"/>
      <c r="F49" s="1"/>
      <c r="G49" s="5"/>
      <c r="H49" s="21"/>
      <c r="I49" s="67" t="s">
        <v>647</v>
      </c>
      <c r="J49" s="30"/>
      <c r="K49" s="30"/>
      <c r="L49" s="14">
        <f>C49</f>
        <v>0</v>
      </c>
      <c r="M49" s="1">
        <f>E49</f>
        <v>0</v>
      </c>
      <c r="N49" s="1">
        <f>IF(D49,L49/D49,0)</f>
        <v>0</v>
      </c>
      <c r="O49" s="15">
        <f>L49-N49</f>
        <v>0</v>
      </c>
      <c r="P49" s="14">
        <f t="shared" si="12"/>
        <v>0</v>
      </c>
      <c r="Q49" s="1">
        <f>SUM(L49:L50)</f>
        <v>0</v>
      </c>
      <c r="R49" s="15">
        <f>N49+Q50</f>
        <v>0</v>
      </c>
      <c r="S49" s="14">
        <f>N49+H49*O49</f>
        <v>0</v>
      </c>
      <c r="T49" s="1">
        <f t="shared" si="13"/>
        <v>0</v>
      </c>
      <c r="U49" s="1">
        <f>SUM(L49:L50)</f>
        <v>0</v>
      </c>
      <c r="V49" s="1">
        <f>S49+U50</f>
        <v>0</v>
      </c>
    </row>
    <row r="50" spans="1:22" ht="15" thickBot="1">
      <c r="A50" s="40"/>
      <c r="B50" s="28">
        <v>4</v>
      </c>
      <c r="C50" s="6"/>
      <c r="D50" s="7"/>
      <c r="E50" s="7"/>
      <c r="F50" s="7"/>
      <c r="G50" s="22"/>
      <c r="H50" s="23"/>
      <c r="I50" s="24" t="s">
        <v>648</v>
      </c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2" ht="15" thickBot="1">
      <c r="A51" s="47"/>
      <c r="B51" s="26" t="s">
        <v>38</v>
      </c>
      <c r="C51" s="1" t="s">
        <v>4</v>
      </c>
      <c r="D51" s="1" t="s">
        <v>28</v>
      </c>
      <c r="E51" s="1" t="s">
        <v>265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264</v>
      </c>
    </row>
    <row r="52" spans="1:22">
      <c r="A52" s="47"/>
      <c r="B52" s="27" t="s">
        <v>30</v>
      </c>
      <c r="C52" s="8">
        <v>13.4</v>
      </c>
      <c r="D52" s="1">
        <f>IF(C52,C52+Q46,"")</f>
        <v>494.9</v>
      </c>
      <c r="E52" s="72">
        <f>IF(C52,C52/D52,"")</f>
        <v>2.707617700545565E-2</v>
      </c>
      <c r="F52" s="14" t="str">
        <f>IF(AND(C52&lt;&gt;"",N44&lt;&gt;""),(M46/F46*E44+M47/F47*D44)/(C52+Q46),"")</f>
        <v/>
      </c>
      <c r="G52" s="1">
        <f>IF(C52,IF(AND(F46&lt;&gt;0,C44&lt;&gt;0),M47,M47/F47*D44)/(C52+Q47),"")</f>
        <v>1.5821378056172966</v>
      </c>
      <c r="H52" s="1">
        <f>IF(C52,(M48)/(C52+Q48),"")</f>
        <v>0.85089141004862234</v>
      </c>
      <c r="I52" s="1">
        <f>IF(C52,(M49)/(C52+Q49),"")</f>
        <v>0</v>
      </c>
      <c r="J52" s="1">
        <f>IF(C52,(M50)/(C52+Q50),"")</f>
        <v>0</v>
      </c>
      <c r="K52" s="14" t="str">
        <f>IF(AND(C52&lt;&gt;"",N44&lt;&gt;""),9.8*N44*LN((C52+Q46)/(C52+R46)),"")</f>
        <v/>
      </c>
      <c r="L52" s="1">
        <f>IF(C52,9.8*F47*LN((C52+Q47)/(C52+R47)),"")</f>
        <v>3710.7765596356653</v>
      </c>
      <c r="M52" s="1">
        <f>IF(C52,9.8*F48*LN((C52+Q48)/(C52+R48)),"")</f>
        <v>5767.374623453301</v>
      </c>
      <c r="N52" s="1">
        <f>IF(C52,9.8*F49*LN((C52+Q49)/(C52+R49)),"")</f>
        <v>0</v>
      </c>
      <c r="O52" s="1">
        <f>IF(C52,9.8*F50*LN((C52+Q50)/(C52+R50)),"")</f>
        <v>0</v>
      </c>
      <c r="P52" s="15">
        <f>IF(C52,SUM(K52:O52),"")</f>
        <v>9478.1511830889667</v>
      </c>
      <c r="Q52" s="1" t="s">
        <v>649</v>
      </c>
      <c r="R52" s="1"/>
      <c r="S52" s="1"/>
      <c r="T52" s="32" t="str">
        <f>IF(OR(F52&lt;1,AND(F52="",G52&lt;1)),"起飞推重比不得小于0，空天飞机除外","")</f>
        <v/>
      </c>
      <c r="U52" s="1"/>
      <c r="V52" s="1"/>
    </row>
    <row r="53" spans="1:22">
      <c r="A53" s="33" t="s">
        <v>47</v>
      </c>
      <c r="B53" s="27" t="s">
        <v>31</v>
      </c>
      <c r="C53" s="9"/>
      <c r="D53" s="1" t="str">
        <f>IF(C53,C53+Q46,"")</f>
        <v/>
      </c>
      <c r="E53" s="72" t="str">
        <f t="shared" ref="E53:E55" si="14">IF(C53,C53/D53,"")</f>
        <v/>
      </c>
      <c r="F53" s="14" t="str">
        <f>IF(AND(C53&lt;&gt;"",N44&lt;&gt;""),(M46/F46*E44+M47/F47*D44)/(C53+Q46),"")</f>
        <v/>
      </c>
      <c r="G53" s="1" t="str">
        <f>IF(C53,IF(AND(F46&lt;&gt;0,C44&lt;&gt;0),M47,M47/F47*D44)/(C53+Q47),"")</f>
        <v/>
      </c>
      <c r="H53" s="1" t="str">
        <f>IF(C53,(M48)/(C53+Q48),"")</f>
        <v/>
      </c>
      <c r="I53" s="1" t="str">
        <f>IF(C53,(M49)/(C53+Q49),"")</f>
        <v/>
      </c>
      <c r="J53" s="1" t="str">
        <f>IF(C53,(M50)/(C53+Q50),"")</f>
        <v/>
      </c>
      <c r="K53" s="14" t="str">
        <f>IF(AND(C53&lt;&gt;"",N44&lt;&gt;""),9.8*N44*LN((C53+Q46)/(C53+R46)),"")</f>
        <v/>
      </c>
      <c r="L53" s="1" t="str">
        <f>IF(C53,9.8*F47*LN((C53+Q47)/(C53+R47)),"")</f>
        <v/>
      </c>
      <c r="M53" s="1" t="str">
        <f>IF(C53,9.8*F48*LN((C53+Q48)/(C53+R48)),"")</f>
        <v/>
      </c>
      <c r="N53" s="1" t="str">
        <f>IF(C53,9.8*F49*LN((C53+Q49)/(C53+R49)),"")</f>
        <v/>
      </c>
      <c r="O53" s="1" t="str">
        <f>IF(C53,9.8*F50*LN((C53+Q50)/(C53+R50)),"")</f>
        <v/>
      </c>
      <c r="P53" s="15" t="str">
        <f>IF(C53,SUM(K53:O53),"")</f>
        <v/>
      </c>
      <c r="Q53" s="1" t="s">
        <v>650</v>
      </c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</row>
    <row r="54" spans="1:22">
      <c r="A54" s="40"/>
      <c r="B54" s="27" t="s">
        <v>36</v>
      </c>
      <c r="C54" s="9"/>
      <c r="D54" s="1" t="str">
        <f>IF(C54,C54+Q46,"")</f>
        <v/>
      </c>
      <c r="E54" s="72" t="str">
        <f t="shared" si="14"/>
        <v/>
      </c>
      <c r="F54" s="14" t="str">
        <f>IF(AND(C54&lt;&gt;"",N44&lt;&gt;""),(M46/F46*E44+M47/F47*D44)/(C54+Q46),"")</f>
        <v/>
      </c>
      <c r="G54" s="1" t="str">
        <f>IF(C54,IF(AND(F46&lt;&gt;0,C44&lt;&gt;0),M47,M47/F47*D44)/(C54+Q47),"")</f>
        <v/>
      </c>
      <c r="H54" s="1" t="str">
        <f>IF(C54,(M48)/(C54+Q48),"")</f>
        <v/>
      </c>
      <c r="I54" s="1" t="str">
        <f>IF(C54,(M49)/(C54+Q49),"")</f>
        <v/>
      </c>
      <c r="J54" s="1" t="str">
        <f>IF(C54,(M50)/(C54+Q50),"")</f>
        <v/>
      </c>
      <c r="K54" s="14" t="str">
        <f>IF(AND(C54&lt;&gt;"",N44&lt;&gt;""),9.8*N44*LN((C54+Q46)/(C54+R46)),"")</f>
        <v/>
      </c>
      <c r="L54" s="1" t="str">
        <f>IF(C54,9.8*F47*LN((C54+Q47)/(C54+R47)),"")</f>
        <v/>
      </c>
      <c r="M54" s="1" t="str">
        <f>IF(C54,9.8*F48*LN((C54+Q48)/(C54+R48)),"")</f>
        <v/>
      </c>
      <c r="N54" s="1" t="str">
        <f>IF(C54,9.8*F49*LN((C54+Q49)/(C54+R49)),"")</f>
        <v/>
      </c>
      <c r="O54" s="1" t="str">
        <f>IF(C54,9.8*F50*LN((C54+Q50)/(C54+R50)),"")</f>
        <v/>
      </c>
      <c r="P54" s="15" t="str">
        <f>IF(C54,SUM(K54:O54),"")</f>
        <v/>
      </c>
      <c r="Q54" s="1"/>
      <c r="R54" s="1"/>
      <c r="S54" s="1"/>
      <c r="T54" s="32" t="str">
        <f t="shared" si="15"/>
        <v/>
      </c>
      <c r="U54" s="1"/>
      <c r="V54" s="1"/>
    </row>
    <row r="55" spans="1:22" ht="15" thickBot="1">
      <c r="A55" s="47"/>
      <c r="B55" s="28" t="s">
        <v>5</v>
      </c>
      <c r="C55" s="10"/>
      <c r="D55" s="1" t="str">
        <f>IF(C55,C55+Q46,"")</f>
        <v/>
      </c>
      <c r="E55" s="72" t="str">
        <f t="shared" si="14"/>
        <v/>
      </c>
      <c r="F55" s="14" t="str">
        <f>IF(AND(C55&lt;&gt;"",N44&lt;&gt;""),(M46/F46*E44+M47/F47*D44)/(C55+Q46),"")</f>
        <v/>
      </c>
      <c r="G55" s="1" t="str">
        <f>IF(C55,IF(AND(F46&lt;&gt;0,C44&lt;&gt;0),M47,M47/F47*D44)/(C55+Q47),"")</f>
        <v/>
      </c>
      <c r="H55" s="1" t="str">
        <f>IF(C55,(M48)/(C55+Q48),"")</f>
        <v/>
      </c>
      <c r="I55" s="1" t="str">
        <f>IF(C55,(M49)/(C55+Q49),"")</f>
        <v/>
      </c>
      <c r="J55" s="1" t="str">
        <f>IF(C55,(M50)/(C55+Q50),"")</f>
        <v/>
      </c>
      <c r="K55" s="14" t="str">
        <f>IF(AND(C55&lt;&gt;"",N44&lt;&gt;""),9.8*N44*LN((C55+Q46)/(C55+R46)),"")</f>
        <v/>
      </c>
      <c r="L55" s="1" t="str">
        <f>IF(C55,9.8*F47*LN((C55+Q47)/(C55+R47)),"")</f>
        <v/>
      </c>
      <c r="M55" s="1" t="str">
        <f>IF(C55,9.8*F48*LN((C55+Q48)/(C55+R48)),"")</f>
        <v/>
      </c>
      <c r="N55" s="1" t="str">
        <f>IF(C55,9.8*F49*LN((C55+Q49)/(C55+R49)),"")</f>
        <v/>
      </c>
      <c r="O55" s="1" t="str">
        <f>IF(C55,9.8*F50*LN((C55+Q50)/(C55+R50)),"")</f>
        <v/>
      </c>
      <c r="P55" s="15" t="str">
        <f>IF(C55,SUM(K55:O55),"")</f>
        <v/>
      </c>
      <c r="Q55" s="17"/>
      <c r="R55" s="17"/>
      <c r="S55" s="17"/>
      <c r="T55" s="32" t="str">
        <f t="shared" si="15"/>
        <v/>
      </c>
      <c r="U55" s="1"/>
      <c r="V55" s="1"/>
    </row>
    <row r="56" spans="1:22" ht="15" thickBot="1">
      <c r="A56" s="33" t="s">
        <v>45</v>
      </c>
      <c r="B56" s="26" t="s">
        <v>37</v>
      </c>
      <c r="C56" s="1" t="s">
        <v>9</v>
      </c>
      <c r="D56" s="12" t="s">
        <v>28</v>
      </c>
      <c r="E56" s="12" t="s">
        <v>266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2">
      <c r="A57" s="40"/>
      <c r="B57" s="27" t="s">
        <v>30</v>
      </c>
      <c r="C57" s="79">
        <v>8.5</v>
      </c>
      <c r="D57" s="1">
        <f>IF(C57,C57+Q46,"")</f>
        <v>490</v>
      </c>
      <c r="E57" s="72">
        <f>IF(C57,C57/D57,"")</f>
        <v>1.7346938775510204E-2</v>
      </c>
      <c r="F57" s="14" t="str">
        <f>IF(AND(C57&lt;&gt;"",N44&lt;&gt;""),(M46/F46*E44+M47/F47*D44)/(C57+U46),"")</f>
        <v/>
      </c>
      <c r="G57" s="1">
        <f>IF(C57,IF(AND(F46&lt;&gt;0,C44&lt;&gt;0),M47,M47/F47*D44)/(C57+U47),"")</f>
        <v>1.5979591836734695</v>
      </c>
      <c r="H57" s="1">
        <f>IF(C57,(M48)/(C57+U48),"")</f>
        <v>0.88607594936708856</v>
      </c>
      <c r="I57" s="1">
        <f>IF(C57,(M49)/(C57+U49),"")</f>
        <v>0</v>
      </c>
      <c r="J57" s="1">
        <f>IF(C57,(M50)/(C57+U50),"")</f>
        <v>0</v>
      </c>
      <c r="K57" s="14" t="str">
        <f>IF(AND(C57&lt;&gt;"",N44&lt;&gt;""),9.8*N44*LN((C57+U46)/(C57+V46)),"")</f>
        <v/>
      </c>
      <c r="L57" s="1">
        <f>IF(C57,9.8*F47*LN((C57+U47)/(C57+V47)),"")</f>
        <v>2856.2945432248948</v>
      </c>
      <c r="M57" s="1">
        <f>IF(C57,9.8*F48*LN((C57+U48)/(C57+V48)),"")</f>
        <v>6451.5712483762973</v>
      </c>
      <c r="N57" s="1">
        <f>IF(C57,9.8*F49*LN((C57+U49)/(C57+V49)),"")</f>
        <v>0</v>
      </c>
      <c r="O57" s="1">
        <f>IF(C57,9.8*F50*LN((C57+U50)/(C57+V50)),"")</f>
        <v>0</v>
      </c>
      <c r="P57" s="15">
        <f>IF(C57,SUM(K57:O57),"")</f>
        <v>9307.8657916011925</v>
      </c>
      <c r="Q57" s="1" t="s">
        <v>582</v>
      </c>
      <c r="R57" s="1"/>
      <c r="S57" s="1"/>
      <c r="T57" s="32" t="str">
        <f>IF(OR(F57&lt;1,AND(F57="",G57&lt;1)),"起飞推重比不得小于0，空天飞机除外","")</f>
        <v/>
      </c>
      <c r="U57" s="1"/>
      <c r="V57" s="1"/>
    </row>
    <row r="58" spans="1:22">
      <c r="A58" s="47"/>
      <c r="B58" s="27" t="s">
        <v>656</v>
      </c>
      <c r="C58" s="9">
        <v>7.6</v>
      </c>
      <c r="D58" s="1">
        <f>IF(C58,C58+Q46,"")</f>
        <v>489.1</v>
      </c>
      <c r="E58" s="72">
        <f t="shared" ref="E58:E60" si="16">IF(C58,C58/D58,"")</f>
        <v>1.5538744632999386E-2</v>
      </c>
      <c r="F58" s="14" t="str">
        <f>IF(AND(C58&lt;&gt;"",N44&lt;&gt;""),(M46/F46*E44+M47/F47*D44)/(C58+U46),"")</f>
        <v/>
      </c>
      <c r="G58" s="1">
        <f>IF(C58,IF(AND(F46&lt;&gt;0,C44&lt;&gt;0),M47,M47/F47*D44)/(C58+U47),"")</f>
        <v>1.600899611531384</v>
      </c>
      <c r="H58" s="1">
        <f>IF(C58,(M48)/(C58+U48),"")</f>
        <v>0.8928571428571429</v>
      </c>
      <c r="I58" s="1">
        <f>IF(C58,(M49)/(C58+U49),"")</f>
        <v>0</v>
      </c>
      <c r="J58" s="1">
        <f>IF(C58,(M50)/(C58+U50),"")</f>
        <v>0</v>
      </c>
      <c r="K58" s="14" t="str">
        <f>IF(AND(C58&lt;&gt;"",N44&lt;&gt;""),9.8*N44*LN((C58+U46)/(C58+V46)),"")</f>
        <v/>
      </c>
      <c r="L58" s="1">
        <f>IF(C58,9.8*F47*LN((C58+U47)/(C58+V47)),"")</f>
        <v>2864.8142026945798</v>
      </c>
      <c r="M58" s="1">
        <f>IF(C58,9.8*F48*LN((C58+U48)/(C58+V48)),"")</f>
        <v>6600.7055273518208</v>
      </c>
      <c r="N58" s="1">
        <f>IF(C58,9.8*F49*LN((C58+U49)/(C58+V49)),"")</f>
        <v>0</v>
      </c>
      <c r="O58" s="1">
        <f>IF(C58,9.8*F50*LN((C58+U50)/(C58+V50)),"")</f>
        <v>0</v>
      </c>
      <c r="P58" s="15">
        <f>IF(C58,SUM(K58:O58),"")</f>
        <v>9465.5197300464006</v>
      </c>
      <c r="Q58" s="1" t="s">
        <v>659</v>
      </c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2">
      <c r="A59" s="47"/>
      <c r="B59" s="27" t="s">
        <v>32</v>
      </c>
      <c r="C59" s="9"/>
      <c r="D59" s="1" t="str">
        <f>IF(C59,C59+Q46,"")</f>
        <v/>
      </c>
      <c r="E59" s="72" t="str">
        <f t="shared" si="16"/>
        <v/>
      </c>
      <c r="F59" s="14" t="str">
        <f>IF(AND(C59&lt;&gt;"",N44&lt;&gt;""),(M46/F46*E44+M47/F47*D44)/(C59+U46),"")</f>
        <v/>
      </c>
      <c r="G59" s="1" t="str">
        <f>IF(C59,IF(AND(F46&lt;&gt;0,C44&lt;&gt;0),M47,M47/F47*D44)/(C59+U47),"")</f>
        <v/>
      </c>
      <c r="H59" s="1" t="str">
        <f>IF(C59,(M48)/(C59+U48),"")</f>
        <v/>
      </c>
      <c r="I59" s="1" t="str">
        <f>IF(C59,(M49)/(C59+U49),"")</f>
        <v/>
      </c>
      <c r="J59" s="1" t="str">
        <f>IF(C59,(M50)/(C59+U50),"")</f>
        <v/>
      </c>
      <c r="K59" s="14" t="str">
        <f>IF(AND(C59&lt;&gt;"",N44&lt;&gt;""),9.8*N44*LN((C59+U46)/(C59+V46)),"")</f>
        <v/>
      </c>
      <c r="L59" s="1" t="str">
        <f>IF(C59,9.8*F47*LN((C59+U47)/(C59+V47)),"")</f>
        <v/>
      </c>
      <c r="M59" s="1" t="str">
        <f>IF(C59,9.8*F48*LN((C59+U48)/(C59+V48)),"")</f>
        <v/>
      </c>
      <c r="N59" s="1" t="str">
        <f>IF(C59,9.8*F49*LN((C59+U49)/(C59+V49)),"")</f>
        <v/>
      </c>
      <c r="O59" s="1" t="str">
        <f>IF(C59,9.8*F50*LN((C59+U50)/(C59+V50)),"")</f>
        <v/>
      </c>
      <c r="P59" s="15" t="str">
        <f>IF(C59,SUM(K59:O59),"")</f>
        <v/>
      </c>
      <c r="Q59" s="1" t="s">
        <v>658</v>
      </c>
      <c r="R59" s="1"/>
      <c r="S59" s="1"/>
      <c r="T59" s="32" t="str">
        <f t="shared" si="17"/>
        <v/>
      </c>
      <c r="U59" s="1"/>
      <c r="V59" s="1"/>
    </row>
    <row r="60" spans="1:22" ht="15" thickBot="1">
      <c r="A60" s="48" t="s">
        <v>46</v>
      </c>
      <c r="B60" s="49" t="s">
        <v>33</v>
      </c>
      <c r="C60" s="50"/>
      <c r="D60" s="25" t="str">
        <f>IF(C60,C60+Q46,"")</f>
        <v/>
      </c>
      <c r="E60" s="73" t="str">
        <f t="shared" si="16"/>
        <v/>
      </c>
      <c r="F60" s="70" t="str">
        <f>IF(AND(C60&lt;&gt;"",N44&lt;&gt;""),(M46/F46*E44+M47/F47*D44)/(C60+U46),"")</f>
        <v/>
      </c>
      <c r="G60" s="25" t="str">
        <f>IF(C60,IF(AND(F46&lt;&gt;0,C44&lt;&gt;0),M47,M47/F47*D44)/(C60+U47),"")</f>
        <v/>
      </c>
      <c r="H60" s="25" t="str">
        <f>IF(C60,(M48)/(C60+U48),"")</f>
        <v/>
      </c>
      <c r="I60" s="25" t="str">
        <f>IF(C60,(M49)/(C60+U49),"")</f>
        <v/>
      </c>
      <c r="J60" s="25" t="str">
        <f>IF(C60,(M50)/(C60+U50),"")</f>
        <v/>
      </c>
      <c r="K60" s="70" t="str">
        <f>IF(AND(C60&lt;&gt;"",N44&lt;&gt;""),9.8*N44*LN((C60+U46)/(C60+V46)),"")</f>
        <v/>
      </c>
      <c r="L60" s="25" t="str">
        <f>IF(C60,9.8*F47*LN((C60+U47)/(C60+V47)),"")</f>
        <v/>
      </c>
      <c r="M60" s="25" t="str">
        <f>IF(C60,9.8*F48*LN((C60+U48)/(C60+V48)),"")</f>
        <v/>
      </c>
      <c r="N60" s="25" t="str">
        <f>IF(C60,9.8*F49*LN((C60+U49)/(C60+V49)),"")</f>
        <v/>
      </c>
      <c r="O60" s="25" t="str">
        <f>IF(C60,9.8*F50*LN((C60+U50)/(C60+V50)),"")</f>
        <v/>
      </c>
      <c r="P60" s="71" t="str">
        <f>IF(C60,SUM(K60:O60),"")</f>
        <v/>
      </c>
      <c r="Q60" s="25" t="s">
        <v>657</v>
      </c>
      <c r="R60" s="25"/>
      <c r="S60" s="25"/>
      <c r="T60" s="51" t="str">
        <f t="shared" si="17"/>
        <v/>
      </c>
      <c r="U60" s="25"/>
      <c r="V60" s="25"/>
    </row>
    <row r="61" spans="1:22" ht="15" thickBot="1"/>
    <row r="62" spans="1:22" ht="15" thickBot="1">
      <c r="A62" s="52" t="s">
        <v>348</v>
      </c>
      <c r="B62" s="52"/>
      <c r="C62" s="29" t="s">
        <v>0</v>
      </c>
      <c r="D62" s="90" t="s">
        <v>41</v>
      </c>
      <c r="E62" s="90"/>
      <c r="F62" s="43"/>
      <c r="G62" s="43"/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2" ht="15" thickBot="1">
      <c r="A63" s="40" t="s">
        <v>347</v>
      </c>
      <c r="B63" s="39"/>
      <c r="C63" s="2">
        <v>0</v>
      </c>
      <c r="D63" s="2">
        <v>292</v>
      </c>
      <c r="E63" s="2">
        <v>0</v>
      </c>
      <c r="F63" s="41"/>
      <c r="G63" s="42"/>
      <c r="H63" s="42"/>
      <c r="I63" s="24" t="s">
        <v>362</v>
      </c>
      <c r="J63" s="24"/>
      <c r="K63" s="24"/>
      <c r="L63" s="55">
        <f>IFERROR(IF(AND(F65&lt;&gt;0,C63&lt;&gt;0),M65/F65*E63+M66/F66*D63,M66/F66*D63),0)</f>
        <v>183.51757575757577</v>
      </c>
      <c r="M63" s="53" t="s">
        <v>45</v>
      </c>
      <c r="N63" s="17" t="str">
        <f>IF(AND(F65&lt;&gt;0,C63&lt;&gt;0),(M65+M66)/(M65/F65+M66/F66),"")</f>
        <v/>
      </c>
      <c r="O63" s="56" t="s">
        <v>46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2" ht="15" thickBot="1">
      <c r="A64" s="33" t="s">
        <v>45</v>
      </c>
      <c r="B64" s="26" t="s">
        <v>39</v>
      </c>
      <c r="C64" s="1" t="s">
        <v>60</v>
      </c>
      <c r="D64" s="1" t="s">
        <v>61</v>
      </c>
      <c r="E64" s="1" t="s">
        <v>62</v>
      </c>
      <c r="F64" s="1" t="s">
        <v>63</v>
      </c>
      <c r="G64" s="1" t="s">
        <v>64</v>
      </c>
      <c r="H64" s="1" t="s">
        <v>65</v>
      </c>
      <c r="I64" s="60" t="s">
        <v>345</v>
      </c>
      <c r="J64" s="24"/>
      <c r="K64" s="24"/>
      <c r="L64" s="11" t="s">
        <v>6</v>
      </c>
      <c r="M64" s="12" t="s">
        <v>69</v>
      </c>
      <c r="N64" s="12" t="s">
        <v>15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16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/>
      <c r="D65" s="4"/>
      <c r="E65" s="4"/>
      <c r="F65" s="4"/>
      <c r="G65" s="19"/>
      <c r="H65" s="20"/>
      <c r="I65" s="24" t="s">
        <v>363</v>
      </c>
      <c r="J65" s="24"/>
      <c r="K65" s="24"/>
      <c r="L65" s="14">
        <f>C65*C63</f>
        <v>0</v>
      </c>
      <c r="M65" s="1">
        <f>E65*C63</f>
        <v>0</v>
      </c>
      <c r="N65" s="1">
        <f>IF(D65,L65/D65,0)</f>
        <v>0</v>
      </c>
      <c r="O65" s="15">
        <f>L65-N65</f>
        <v>0</v>
      </c>
      <c r="P65" s="14">
        <f>IF(AND(F65&lt;&gt;0,C63&lt;&gt;0),O65/M65*F65/IF(G65,G65,1),0)</f>
        <v>0</v>
      </c>
      <c r="Q65" s="1">
        <f>SUM(L65:L69)</f>
        <v>146</v>
      </c>
      <c r="R65" s="15">
        <f>N65+Q66</f>
        <v>146</v>
      </c>
      <c r="S65" s="14">
        <f>N65+H65*O65</f>
        <v>0</v>
      </c>
      <c r="T65" s="1">
        <f>IF(AND(F65&lt;&gt;0,C63&lt;&gt;0),(1-H65)*O65/M65*F65/IF(G65,G65,1),0)</f>
        <v>0</v>
      </c>
      <c r="U65" s="1">
        <f>SUM(L65:L69)</f>
        <v>146</v>
      </c>
      <c r="V65" s="1">
        <f>S65+U66</f>
        <v>146</v>
      </c>
    </row>
    <row r="66" spans="1:22">
      <c r="A66" s="47"/>
      <c r="B66" s="27">
        <v>1</v>
      </c>
      <c r="C66" s="5">
        <v>116</v>
      </c>
      <c r="D66" s="1">
        <v>13</v>
      </c>
      <c r="E66" s="1">
        <v>207.4</v>
      </c>
      <c r="F66" s="1">
        <v>330</v>
      </c>
      <c r="G66" s="5">
        <v>1</v>
      </c>
      <c r="H66" s="21">
        <v>0.13400000000000001</v>
      </c>
      <c r="I66" s="30" t="s">
        <v>342</v>
      </c>
      <c r="J66" s="30"/>
      <c r="K66" s="30"/>
      <c r="L66" s="14">
        <f>C66</f>
        <v>116</v>
      </c>
      <c r="M66" s="1">
        <f>E66</f>
        <v>207.4</v>
      </c>
      <c r="N66" s="1">
        <f>IF(D66,L66/D66,0)</f>
        <v>8.9230769230769234</v>
      </c>
      <c r="O66" s="15">
        <f>L66-N66</f>
        <v>107.07692307692308</v>
      </c>
      <c r="P66" s="14">
        <f t="shared" ref="P66:P69" si="18">IF(F66,O66/M66*F66/IF(G66,G66,1),0)</f>
        <v>170.37311772123732</v>
      </c>
      <c r="Q66" s="1">
        <f>IF(F66,SUM(L66:L69)-P65*M66/F66*IF(G66,G66,1),0)</f>
        <v>146</v>
      </c>
      <c r="R66" s="15">
        <f>N66+Q67</f>
        <v>38.92307692307692</v>
      </c>
      <c r="S66" s="14">
        <f>N66+H66*O66</f>
        <v>23.271384615384619</v>
      </c>
      <c r="T66" s="1">
        <f>IF(F66,(1-H66)*O66/M66*F66/IF(G66,G66,1),0)</f>
        <v>147.54311994659147</v>
      </c>
      <c r="U66" s="1">
        <f>IF(F66,SUM(L66:L69)-T65*M66/F66*IF(G66,G66,1),0)</f>
        <v>146</v>
      </c>
      <c r="V66" s="1">
        <f>S66+U67</f>
        <v>53.271384615384619</v>
      </c>
    </row>
    <row r="67" spans="1:22">
      <c r="A67" s="47"/>
      <c r="B67" s="27">
        <v>2</v>
      </c>
      <c r="C67" s="5">
        <v>30</v>
      </c>
      <c r="D67" s="1">
        <v>11</v>
      </c>
      <c r="E67" s="1">
        <v>30.6</v>
      </c>
      <c r="F67" s="1">
        <v>346</v>
      </c>
      <c r="G67" s="5"/>
      <c r="H67" s="21"/>
      <c r="I67" s="30" t="s">
        <v>343</v>
      </c>
      <c r="J67" s="30"/>
      <c r="K67" s="30"/>
      <c r="L67" s="14">
        <f>C67</f>
        <v>30</v>
      </c>
      <c r="M67" s="1">
        <f>E67</f>
        <v>30.6</v>
      </c>
      <c r="N67" s="1">
        <f>IF(D67,L67/D67,0)</f>
        <v>2.7272727272727271</v>
      </c>
      <c r="O67" s="15">
        <f>L67-N67</f>
        <v>27.272727272727273</v>
      </c>
      <c r="P67" s="14">
        <f t="shared" si="18"/>
        <v>308.37789661319073</v>
      </c>
      <c r="Q67" s="1">
        <f>SUM(L67:L69)</f>
        <v>30</v>
      </c>
      <c r="R67" s="15">
        <f>N67+Q68</f>
        <v>2.7272727272727271</v>
      </c>
      <c r="S67" s="14">
        <f>N67+H67*O67</f>
        <v>2.7272727272727271</v>
      </c>
      <c r="T67" s="1">
        <f t="shared" ref="T67:T69" si="19">IF(F67,(1-H67)*O67/M67*F67/IF(G67,G67,1),0)</f>
        <v>308.37789661319073</v>
      </c>
      <c r="U67" s="1">
        <f>SUM(L67:L69)</f>
        <v>30</v>
      </c>
      <c r="V67" s="1">
        <f>S67+U68</f>
        <v>2.7272727272727271</v>
      </c>
    </row>
    <row r="68" spans="1:22">
      <c r="A68" s="33" t="s">
        <v>45</v>
      </c>
      <c r="B68" s="27">
        <v>3</v>
      </c>
      <c r="C68" s="5"/>
      <c r="D68" s="1"/>
      <c r="E68" s="1"/>
      <c r="F68" s="1"/>
      <c r="G68" s="5"/>
      <c r="H68" s="21"/>
      <c r="I68" s="30"/>
      <c r="J68" s="30"/>
      <c r="K68" s="30"/>
      <c r="L68" s="14">
        <f>C68</f>
        <v>0</v>
      </c>
      <c r="M68" s="1">
        <f>E68</f>
        <v>0</v>
      </c>
      <c r="N68" s="1">
        <f>IF(D68,L68/D68,0)</f>
        <v>0</v>
      </c>
      <c r="O68" s="15">
        <f>L68-N68</f>
        <v>0</v>
      </c>
      <c r="P68" s="14">
        <f t="shared" si="18"/>
        <v>0</v>
      </c>
      <c r="Q68" s="1">
        <f>SUM(L68:L69)</f>
        <v>0</v>
      </c>
      <c r="R68" s="15">
        <f>N68+Q69</f>
        <v>0</v>
      </c>
      <c r="S68" s="14">
        <f>N68+H68*O68</f>
        <v>0</v>
      </c>
      <c r="T68" s="1">
        <f t="shared" si="19"/>
        <v>0</v>
      </c>
      <c r="U68" s="1">
        <f>SUM(L68:L69)</f>
        <v>0</v>
      </c>
      <c r="V68" s="1">
        <f>S68+U69</f>
        <v>0</v>
      </c>
    </row>
    <row r="69" spans="1:22" ht="15" thickBot="1">
      <c r="A69" s="40"/>
      <c r="B69" s="28">
        <v>4</v>
      </c>
      <c r="C69" s="6"/>
      <c r="D69" s="7"/>
      <c r="E69" s="7"/>
      <c r="F69" s="7"/>
      <c r="G69" s="22"/>
      <c r="H69" s="23"/>
      <c r="I69" s="24"/>
      <c r="J69" s="24"/>
      <c r="K69" s="24"/>
      <c r="L69" s="16">
        <f>C69</f>
        <v>0</v>
      </c>
      <c r="M69" s="17">
        <f>E69</f>
        <v>0</v>
      </c>
      <c r="N69" s="17">
        <f>IF(D69,L69/D69,0)</f>
        <v>0</v>
      </c>
      <c r="O69" s="18">
        <f>L69-N69</f>
        <v>0</v>
      </c>
      <c r="P69" s="14">
        <f t="shared" si="18"/>
        <v>0</v>
      </c>
      <c r="Q69" s="17">
        <f>SUM(L69:L69)</f>
        <v>0</v>
      </c>
      <c r="R69" s="18">
        <f>N69</f>
        <v>0</v>
      </c>
      <c r="S69" s="16">
        <f>N69+H69*O69</f>
        <v>0</v>
      </c>
      <c r="T69" s="17">
        <f t="shared" si="19"/>
        <v>0</v>
      </c>
      <c r="U69" s="17">
        <f>SUM(L69:L69)</f>
        <v>0</v>
      </c>
      <c r="V69" s="17">
        <f>S69</f>
        <v>0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265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264</v>
      </c>
    </row>
    <row r="71" spans="1:22">
      <c r="A71" s="47"/>
      <c r="B71" s="27" t="s">
        <v>30</v>
      </c>
      <c r="C71" s="8">
        <v>4</v>
      </c>
      <c r="D71" s="1">
        <f>IF(C71,C71+Q65,"")</f>
        <v>150</v>
      </c>
      <c r="E71" s="72">
        <f>IF(C71,C71/D71,"")</f>
        <v>2.6666666666666668E-2</v>
      </c>
      <c r="F71" s="14" t="str">
        <f>IF(AND(C71&lt;&gt;"",N63&lt;&gt;""),(M65/F65*E63+M66/F66*D63)/(C71+Q65),"")</f>
        <v/>
      </c>
      <c r="G71" s="1">
        <f>IF(C71,IF(AND(F65&lt;&gt;0,C63&lt;&gt;0),M66,M66/F66*D63)/(C71+Q66),"")</f>
        <v>1.2234505050505051</v>
      </c>
      <c r="H71" s="1">
        <f>IF(C71,(M67)/(C71+Q67),"")</f>
        <v>0.9</v>
      </c>
      <c r="I71" s="1">
        <f>IF(C71,(M68)/(C71+Q68),"")</f>
        <v>0</v>
      </c>
      <c r="J71" s="1">
        <f>IF(C71,(M69)/(C71+Q69),"")</f>
        <v>0</v>
      </c>
      <c r="K71" s="14" t="str">
        <f>IF(AND(C71&lt;&gt;"",N63&lt;&gt;""),9.8*N63*LN((C71+Q65)/(C71+R65)),"")</f>
        <v/>
      </c>
      <c r="L71" s="1">
        <f>IF(C71,9.8*F66*LN((C71+Q66)/(C71+R66)),"")</f>
        <v>4046.4638787967424</v>
      </c>
      <c r="M71" s="1">
        <f>IF(C71,9.8*F67*LN((C71+Q67)/(C71+R67)),"")</f>
        <v>5493.7426398364969</v>
      </c>
      <c r="N71" s="1">
        <f>IF(C71,9.8*F68*LN((C71+Q68)/(C71+R68)),"")</f>
        <v>0</v>
      </c>
      <c r="O71" s="1">
        <f>IF(C71,9.8*F69*LN((C71+Q69)/(C71+R69)),"")</f>
        <v>0</v>
      </c>
      <c r="P71" s="15">
        <f>IF(C71,SUM(K71:O71),"")</f>
        <v>9540.2065186332402</v>
      </c>
      <c r="Q71" s="1" t="s">
        <v>346</v>
      </c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47</v>
      </c>
      <c r="B72" s="27" t="s">
        <v>31</v>
      </c>
      <c r="C72" s="9"/>
      <c r="D72" s="1" t="str">
        <f>IF(C72,C72+Q65,"")</f>
        <v/>
      </c>
      <c r="E72" s="72" t="str">
        <f t="shared" ref="E72:E74" si="20">IF(C72,C72/D72,"")</f>
        <v/>
      </c>
      <c r="F72" s="14" t="str">
        <f>IF(AND(C72&lt;&gt;"",N63&lt;&gt;""),(M65/F65*E63+M66/F66*D63)/(C72+Q65),"")</f>
        <v/>
      </c>
      <c r="G72" s="1" t="str">
        <f>IF(C72,IF(AND(F65&lt;&gt;0,C63&lt;&gt;0),M66,M66/F66*D63)/(C72+Q66),"")</f>
        <v/>
      </c>
      <c r="H72" s="1" t="str">
        <f>IF(C72,(M67)/(C72+Q67),"")</f>
        <v/>
      </c>
      <c r="I72" s="1" t="str">
        <f>IF(C72,(M68)/(C72+Q68),"")</f>
        <v/>
      </c>
      <c r="J72" s="1" t="str">
        <f>IF(C72,(M69)/(C72+Q69),"")</f>
        <v/>
      </c>
      <c r="K72" s="14" t="str">
        <f>IF(AND(C72&lt;&gt;"",N63&lt;&gt;""),9.8*N63*LN((C72+Q65)/(C72+R65)),"")</f>
        <v/>
      </c>
      <c r="L72" s="1" t="str">
        <f>IF(C72,9.8*F66*LN((C72+Q66)/(C72+R66)),"")</f>
        <v/>
      </c>
      <c r="M72" s="1" t="str">
        <f>IF(C72,9.8*F67*LN((C72+Q67)/(C72+R67)),"")</f>
        <v/>
      </c>
      <c r="N72" s="1" t="str">
        <f>IF(C72,9.8*F68*LN((C72+Q68)/(C72+R68)),"")</f>
        <v/>
      </c>
      <c r="O72" s="1" t="str">
        <f>IF(C72,9.8*F69*LN((C72+Q69)/(C72+R69)),"")</f>
        <v/>
      </c>
      <c r="P72" s="15" t="str">
        <f>IF(C72,SUM(K72:O72),"")</f>
        <v/>
      </c>
      <c r="Q72" s="1"/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36</v>
      </c>
      <c r="C73" s="9"/>
      <c r="D73" s="1" t="str">
        <f>IF(C73,C73+Q65,"")</f>
        <v/>
      </c>
      <c r="E73" s="72" t="str">
        <f t="shared" si="20"/>
        <v/>
      </c>
      <c r="F73" s="14" t="str">
        <f>IF(AND(C73&lt;&gt;"",N63&lt;&gt;""),(M65/F65*E63+M66/F66*D63)/(C73+Q65),"")</f>
        <v/>
      </c>
      <c r="G73" s="1" t="str">
        <f>IF(C73,IF(AND(F65&lt;&gt;0,C63&lt;&gt;0),M66,M66/F66*D63)/(C73+Q66),"")</f>
        <v/>
      </c>
      <c r="H73" s="1" t="str">
        <f>IF(C73,(M67)/(C73+Q67),"")</f>
        <v/>
      </c>
      <c r="I73" s="1" t="str">
        <f>IF(C73,(M68)/(C73+Q68),"")</f>
        <v/>
      </c>
      <c r="J73" s="1" t="str">
        <f>IF(C73,(M69)/(C73+Q69),"")</f>
        <v/>
      </c>
      <c r="K73" s="14" t="str">
        <f>IF(AND(C73&lt;&gt;"",N63&lt;&gt;""),9.8*N63*LN((C73+Q65)/(C73+R65)),"")</f>
        <v/>
      </c>
      <c r="L73" s="1" t="str">
        <f>IF(C73,9.8*F66*LN((C73+Q66)/(C73+R66)),"")</f>
        <v/>
      </c>
      <c r="M73" s="1" t="str">
        <f>IF(C73,9.8*F67*LN((C73+Q67)/(C73+R67)),"")</f>
        <v/>
      </c>
      <c r="N73" s="1" t="str">
        <f>IF(C73,9.8*F68*LN((C73+Q68)/(C73+R68)),"")</f>
        <v/>
      </c>
      <c r="O73" s="1" t="str">
        <f>IF(C73,9.8*F69*LN((C73+Q69)/(C73+R69)),"")</f>
        <v/>
      </c>
      <c r="P73" s="15" t="str">
        <f>IF(C73,SUM(K73:O73),"")</f>
        <v/>
      </c>
      <c r="Q73" s="1"/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/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54</v>
      </c>
      <c r="D75" s="12" t="s">
        <v>28</v>
      </c>
      <c r="E75" s="12" t="s">
        <v>266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>
        <v>2.2000000000000002</v>
      </c>
      <c r="D76" s="1">
        <f>IF(C76,C76+Q65,"")</f>
        <v>148.19999999999999</v>
      </c>
      <c r="E76" s="72">
        <f>IF(C76,C76/D76,"")</f>
        <v>1.4844804318488532E-2</v>
      </c>
      <c r="F76" s="14" t="str">
        <f>IF(AND(C76&lt;&gt;"",N63&lt;&gt;""),(M65/F65*E63+M66/F66*D63)/(C76+U65),"")</f>
        <v/>
      </c>
      <c r="G76" s="1">
        <f>IF(C76,IF(AND(F65&lt;&gt;0,C63&lt;&gt;0),M66,M66/F66*D63)/(C76+U66),"")</f>
        <v>1.2383102277839122</v>
      </c>
      <c r="H76" s="1">
        <f>IF(C76,(M67)/(C76+U67),"")</f>
        <v>0.95031055900621109</v>
      </c>
      <c r="I76" s="1">
        <f>IF(C76,(M68)/(C76+U68),"")</f>
        <v>0</v>
      </c>
      <c r="J76" s="1">
        <f>IF(C76,(M69)/(C76+U69),"")</f>
        <v>0</v>
      </c>
      <c r="K76" s="14" t="str">
        <f>IF(AND(C76&lt;&gt;"",N63&lt;&gt;""),9.8*N63*LN((C76+U65)/(C76+V65)),"")</f>
        <v/>
      </c>
      <c r="L76" s="1">
        <f>IF(C76,9.8*F66*LN((C76+U66)/(C76+V66)),"")</f>
        <v>3178.0369804819093</v>
      </c>
      <c r="M76" s="1">
        <f>IF(C76,9.8*F67*LN((C76+U67)/(C76+V67)),"")</f>
        <v>6365.1447139551419</v>
      </c>
      <c r="N76" s="1">
        <f>IF(C76,9.8*F68*LN((C76+U68)/(C76+V68)),"")</f>
        <v>0</v>
      </c>
      <c r="O76" s="1">
        <f>IF(C76,9.8*F69*LN((C76+U69)/(C76+V69)),"")</f>
        <v>0</v>
      </c>
      <c r="P76" s="15">
        <f>IF(C76,SUM(K76:O76),"")</f>
        <v>9543.1816944370512</v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/>
      <c r="D77" s="1" t="str">
        <f>IF(C77,C77+Q65,"")</f>
        <v/>
      </c>
      <c r="E77" s="72" t="str">
        <f t="shared" ref="E77:E79" si="22">IF(C77,C77/D77,"")</f>
        <v/>
      </c>
      <c r="F77" s="14" t="str">
        <f>IF(AND(C77&lt;&gt;"",N63&lt;&gt;""),(M65/F65*E63+M66/F66*D63)/(C77+U65),"")</f>
        <v/>
      </c>
      <c r="G77" s="1" t="str">
        <f>IF(C77,IF(AND(F65&lt;&gt;0,C63&lt;&gt;0),M66,M66/F66*D63)/(C77+U66),"")</f>
        <v/>
      </c>
      <c r="H77" s="1" t="str">
        <f>IF(C77,(M67)/(C77+U67),"")</f>
        <v/>
      </c>
      <c r="I77" s="1" t="str">
        <f>IF(C77,(M68)/(C77+U68),"")</f>
        <v/>
      </c>
      <c r="J77" s="1" t="str">
        <f>IF(C77,(M69)/(C77+U69),"")</f>
        <v/>
      </c>
      <c r="K77" s="14" t="str">
        <f>IF(AND(C77&lt;&gt;"",N63&lt;&gt;""),9.8*N63*LN((C77+U65)/(C77+V65)),"")</f>
        <v/>
      </c>
      <c r="L77" s="1" t="str">
        <f>IF(C77,9.8*F66*LN((C77+U66)/(C77+V66)),"")</f>
        <v/>
      </c>
      <c r="M77" s="1" t="str">
        <f>IF(C77,9.8*F67*LN((C77+U67)/(C77+V67)),"")</f>
        <v/>
      </c>
      <c r="N77" s="1" t="str">
        <f>IF(C77,9.8*F68*LN((C77+U68)/(C77+V68)),"")</f>
        <v/>
      </c>
      <c r="O77" s="1" t="str">
        <f>IF(C77,9.8*F69*LN((C77+U69)/(C77+V69)),"")</f>
        <v/>
      </c>
      <c r="P77" s="15" t="str">
        <f>IF(C77,SUM(K77:O77),"")</f>
        <v/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/>
      <c r="D78" s="1" t="str">
        <f>IF(C78,C78+Q65,"")</f>
        <v/>
      </c>
      <c r="E78" s="72" t="str">
        <f t="shared" si="22"/>
        <v/>
      </c>
      <c r="F78" s="14" t="str">
        <f>IF(AND(C78&lt;&gt;"",N63&lt;&gt;""),(M65/F65*E63+M66/F66*D63)/(C78+U65),"")</f>
        <v/>
      </c>
      <c r="G78" s="1" t="str">
        <f>IF(C78,IF(AND(F65&lt;&gt;0,C63&lt;&gt;0),M66,M66/F66*D63)/(C78+U66),"")</f>
        <v/>
      </c>
      <c r="H78" s="1" t="str">
        <f>IF(C78,(M67)/(C78+U67),"")</f>
        <v/>
      </c>
      <c r="I78" s="1" t="str">
        <f>IF(C78,(M68)/(C78+U68),"")</f>
        <v/>
      </c>
      <c r="J78" s="1" t="str">
        <f>IF(C78,(M69)/(C78+U69),"")</f>
        <v/>
      </c>
      <c r="K78" s="14" t="str">
        <f>IF(AND(C78&lt;&gt;"",N63&lt;&gt;""),9.8*N63*LN((C78+U65)/(C78+V65)),"")</f>
        <v/>
      </c>
      <c r="L78" s="1" t="str">
        <f>IF(C78,9.8*F66*LN((C78+U66)/(C78+V66)),"")</f>
        <v/>
      </c>
      <c r="M78" s="1" t="str">
        <f>IF(C78,9.8*F67*LN((C78+U67)/(C78+V67)),"")</f>
        <v/>
      </c>
      <c r="N78" s="1" t="str">
        <f>IF(C78,9.8*F68*LN((C78+U68)/(C78+V68)),"")</f>
        <v/>
      </c>
      <c r="O78" s="1" t="str">
        <f>IF(C78,9.8*F69*LN((C78+U69)/(C78+V69)),"")</f>
        <v/>
      </c>
      <c r="P78" s="15" t="str">
        <f>IF(C78,SUM(K78:O78),"")</f>
        <v/>
      </c>
      <c r="Q78" s="1"/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46</v>
      </c>
      <c r="B79" s="49" t="s">
        <v>33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327</v>
      </c>
      <c r="B81" s="52"/>
      <c r="C81" s="29" t="s">
        <v>0</v>
      </c>
      <c r="D81" s="90" t="s">
        <v>41</v>
      </c>
      <c r="E81" s="90"/>
      <c r="F81" s="43"/>
      <c r="G81" s="43"/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328</v>
      </c>
      <c r="B82" s="39"/>
      <c r="C82" s="2">
        <v>0</v>
      </c>
      <c r="D82" s="2">
        <v>285</v>
      </c>
      <c r="E82" s="2">
        <v>0</v>
      </c>
      <c r="F82" s="41"/>
      <c r="G82" s="42"/>
      <c r="H82" s="42"/>
      <c r="I82" s="24" t="s">
        <v>364</v>
      </c>
      <c r="J82" s="24"/>
      <c r="K82" s="24"/>
      <c r="L82" s="55">
        <f>IFERROR(IF(AND(F84&lt;&gt;0,C82&lt;&gt;0),M84/F84*E82+M85/F85*D82,M85/F85*D82),0)</f>
        <v>778.60161290322583</v>
      </c>
      <c r="M82" s="53" t="s">
        <v>45</v>
      </c>
      <c r="N82" s="17" t="str">
        <f>IF(AND(F84&lt;&gt;0,C82&lt;&gt;0),(M84+M85)/(M84/F84+M85/F85),"")</f>
        <v/>
      </c>
      <c r="O82" s="56" t="s">
        <v>46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60</v>
      </c>
      <c r="D83" s="1" t="s">
        <v>61</v>
      </c>
      <c r="E83" s="1" t="s">
        <v>62</v>
      </c>
      <c r="F83" s="1" t="s">
        <v>63</v>
      </c>
      <c r="G83" s="1" t="s">
        <v>64</v>
      </c>
      <c r="H83" s="1" t="s">
        <v>65</v>
      </c>
      <c r="I83" s="60" t="s">
        <v>345</v>
      </c>
      <c r="J83" s="24"/>
      <c r="K83" s="24"/>
      <c r="L83" s="11" t="s">
        <v>6</v>
      </c>
      <c r="M83" s="12" t="s">
        <v>69</v>
      </c>
      <c r="N83" s="12" t="s">
        <v>15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16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/>
      <c r="D84" s="4"/>
      <c r="E84" s="4"/>
      <c r="F84" s="4"/>
      <c r="G84" s="19"/>
      <c r="H84" s="20"/>
      <c r="I84" s="24" t="s">
        <v>365</v>
      </c>
      <c r="J84" s="24"/>
      <c r="K84" s="24"/>
      <c r="L84" s="14">
        <f>C84*C82</f>
        <v>0</v>
      </c>
      <c r="M84" s="1">
        <f>E84*C82</f>
        <v>0</v>
      </c>
      <c r="N84" s="1">
        <f>IF(D84,L84/D84,0)</f>
        <v>0</v>
      </c>
      <c r="O84" s="15">
        <f>L84-N84</f>
        <v>0</v>
      </c>
      <c r="P84" s="14">
        <f>IF(AND(F84&lt;&gt;0,C82&lt;&gt;0),O84/M84*F84/IF(G84,G84,1),0)</f>
        <v>0</v>
      </c>
      <c r="Q84" s="1">
        <f>SUM(L84:L88)</f>
        <v>573</v>
      </c>
      <c r="R84" s="15">
        <f>N84+Q85</f>
        <v>573</v>
      </c>
      <c r="S84" s="14">
        <f>N84+H84*O84</f>
        <v>0</v>
      </c>
      <c r="T84" s="1">
        <f>IF(AND(F84&lt;&gt;0,C82&lt;&gt;0),(1-H84)*O84/M84*F84/IF(G84,G84,1),0)</f>
        <v>0</v>
      </c>
      <c r="U84" s="1">
        <f>SUM(L84:L88)</f>
        <v>573</v>
      </c>
      <c r="V84" s="1">
        <f>S84+U85</f>
        <v>573</v>
      </c>
    </row>
    <row r="85" spans="1:22">
      <c r="A85" s="47"/>
      <c r="B85" s="27">
        <v>1</v>
      </c>
      <c r="C85" s="5">
        <v>454</v>
      </c>
      <c r="D85" s="1">
        <v>14</v>
      </c>
      <c r="E85" s="1">
        <v>846.9</v>
      </c>
      <c r="F85" s="1">
        <v>310</v>
      </c>
      <c r="G85" s="5">
        <v>1</v>
      </c>
      <c r="H85" s="21">
        <v>0.129</v>
      </c>
      <c r="I85" s="30" t="s">
        <v>385</v>
      </c>
      <c r="J85" s="30"/>
      <c r="K85" s="30"/>
      <c r="L85" s="14">
        <f>C85</f>
        <v>454</v>
      </c>
      <c r="M85" s="1">
        <f>E85</f>
        <v>846.9</v>
      </c>
      <c r="N85" s="1">
        <f>IF(D85,L85/D85,0)</f>
        <v>32.428571428571431</v>
      </c>
      <c r="O85" s="15">
        <f>L85-N85</f>
        <v>421.57142857142856</v>
      </c>
      <c r="P85" s="14">
        <f t="shared" ref="P85:P88" si="24">IF(F85,O85/M85*F85/IF(G85,G85,1),0)</f>
        <v>154.31236610832784</v>
      </c>
      <c r="Q85" s="1">
        <f>IF(F85,SUM(L85:L88)-P84*M85/F85*IF(G85,G85,1),0)</f>
        <v>573</v>
      </c>
      <c r="R85" s="15">
        <f>N85+Q86</f>
        <v>151.42857142857144</v>
      </c>
      <c r="S85" s="14">
        <f>N85+H85*O85</f>
        <v>86.811285714285717</v>
      </c>
      <c r="T85" s="1">
        <f>IF(F85,(1-H85)*O85/M85*F85/IF(G85,G85,1),0)</f>
        <v>134.40607088035355</v>
      </c>
      <c r="U85" s="1">
        <f>IF(F85,SUM(L85:L88)-T84*M85/F85*IF(G85,G85,1),0)</f>
        <v>573</v>
      </c>
      <c r="V85" s="1">
        <f>S85+U86</f>
        <v>205.8112857142857</v>
      </c>
    </row>
    <row r="86" spans="1:22">
      <c r="A86" s="47"/>
      <c r="B86" s="27">
        <v>2</v>
      </c>
      <c r="C86" s="5">
        <v>119</v>
      </c>
      <c r="D86" s="1">
        <v>14</v>
      </c>
      <c r="E86" s="1">
        <v>130.69999999999999</v>
      </c>
      <c r="F86" s="1">
        <v>335</v>
      </c>
      <c r="G86" s="5"/>
      <c r="H86" s="21"/>
      <c r="I86" s="30" t="s">
        <v>386</v>
      </c>
      <c r="J86" s="30"/>
      <c r="K86" s="30"/>
      <c r="L86" s="14">
        <f>C86</f>
        <v>119</v>
      </c>
      <c r="M86" s="1">
        <f>E86</f>
        <v>130.69999999999999</v>
      </c>
      <c r="N86" s="1">
        <f>IF(D86,L86/D86,0)</f>
        <v>8.5</v>
      </c>
      <c r="O86" s="15">
        <f>L86-N86</f>
        <v>110.5</v>
      </c>
      <c r="P86" s="14">
        <f t="shared" si="24"/>
        <v>283.22494261667947</v>
      </c>
      <c r="Q86" s="1">
        <f>SUM(L86:L88)</f>
        <v>119</v>
      </c>
      <c r="R86" s="15">
        <f>N86+Q87</f>
        <v>8.5</v>
      </c>
      <c r="S86" s="14">
        <f>N86+H86*O86</f>
        <v>8.5</v>
      </c>
      <c r="T86" s="1">
        <f t="shared" ref="T86:T88" si="25">IF(F86,(1-H86)*O86/M86*F86/IF(G86,G86,1),0)</f>
        <v>283.22494261667947</v>
      </c>
      <c r="U86" s="1">
        <f>SUM(L86:L88)</f>
        <v>119</v>
      </c>
      <c r="V86" s="1">
        <f>S86+U87</f>
        <v>8.5</v>
      </c>
    </row>
    <row r="87" spans="1:22">
      <c r="A87" s="33" t="s">
        <v>45</v>
      </c>
      <c r="B87" s="27">
        <v>3</v>
      </c>
      <c r="C87" s="5"/>
      <c r="D87" s="1"/>
      <c r="E87" s="1"/>
      <c r="F87" s="1"/>
      <c r="G87" s="5"/>
      <c r="H87" s="21"/>
      <c r="I87" s="30"/>
      <c r="J87" s="30"/>
      <c r="K87" s="30"/>
      <c r="L87" s="14">
        <f>C87</f>
        <v>0</v>
      </c>
      <c r="M87" s="1">
        <f>E87</f>
        <v>0</v>
      </c>
      <c r="N87" s="1">
        <f>IF(D87,L87/D87,0)</f>
        <v>0</v>
      </c>
      <c r="O87" s="15">
        <f>L87-N87</f>
        <v>0</v>
      </c>
      <c r="P87" s="14">
        <f t="shared" si="24"/>
        <v>0</v>
      </c>
      <c r="Q87" s="1">
        <f>SUM(L87:L88)</f>
        <v>0</v>
      </c>
      <c r="R87" s="15">
        <f>N87+Q88</f>
        <v>0</v>
      </c>
      <c r="S87" s="14">
        <f>N87+H87*O87</f>
        <v>0</v>
      </c>
      <c r="T87" s="1">
        <f t="shared" si="25"/>
        <v>0</v>
      </c>
      <c r="U87" s="1">
        <f>SUM(L87:L88)</f>
        <v>0</v>
      </c>
      <c r="V87" s="1">
        <f>S87+U88</f>
        <v>0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265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85" t="s">
        <v>42</v>
      </c>
      <c r="R89" s="85"/>
      <c r="S89" s="85"/>
      <c r="T89" s="31" t="s">
        <v>50</v>
      </c>
      <c r="U89" s="35" t="s">
        <v>47</v>
      </c>
      <c r="V89" s="36" t="s">
        <v>264</v>
      </c>
    </row>
    <row r="90" spans="1:22">
      <c r="A90" s="47"/>
      <c r="B90" s="27" t="s">
        <v>30</v>
      </c>
      <c r="C90" s="8">
        <v>17</v>
      </c>
      <c r="D90" s="1">
        <f>IF(C90,C90+Q84,"")</f>
        <v>590</v>
      </c>
      <c r="E90" s="72">
        <f>IF(C90,C90/D90,"")</f>
        <v>2.8813559322033899E-2</v>
      </c>
      <c r="F90" s="14" t="str">
        <f>IF(AND(C90&lt;&gt;"",N82&lt;&gt;""),(M84/F84*E82+M85/F85*D82)/(C90+Q84),"")</f>
        <v/>
      </c>
      <c r="G90" s="1">
        <f>IF(C90,IF(AND(F84&lt;&gt;0,C82&lt;&gt;0),M85,M85/F85*D82)/(C90+Q85),"")</f>
        <v>1.3196637506834337</v>
      </c>
      <c r="H90" s="1">
        <f>IF(C90,(M86)/(C90+Q86),"")</f>
        <v>0.9610294117647058</v>
      </c>
      <c r="I90" s="1">
        <f>IF(C90,(M87)/(C90+Q87),"")</f>
        <v>0</v>
      </c>
      <c r="J90" s="1">
        <f>IF(C90,(M88)/(C90+Q88),"")</f>
        <v>0</v>
      </c>
      <c r="K90" s="14" t="str">
        <f>IF(AND(C90&lt;&gt;"",N82&lt;&gt;""),9.8*N82*LN((C90+Q84)/(C90+R84)),"")</f>
        <v/>
      </c>
      <c r="L90" s="1">
        <f>IF(C90,9.8*F85*LN((C90+Q85)/(C90+R85)),"")</f>
        <v>3808.4695660989951</v>
      </c>
      <c r="M90" s="1">
        <f>IF(C90,9.8*F86*LN((C90+Q86)/(C90+R86)),"")</f>
        <v>5495.6646314157988</v>
      </c>
      <c r="N90" s="1">
        <f>IF(C90,9.8*F87*LN((C90+Q87)/(C90+R87)),"")</f>
        <v>0</v>
      </c>
      <c r="O90" s="1">
        <f>IF(C90,9.8*F88*LN((C90+Q88)/(C90+R88)),"")</f>
        <v>0</v>
      </c>
      <c r="P90" s="15">
        <f>IF(C90,SUM(K90:O90),"")</f>
        <v>9304.1341975147934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47</v>
      </c>
      <c r="B91" s="27" t="s">
        <v>31</v>
      </c>
      <c r="C91" s="9">
        <v>3.1</v>
      </c>
      <c r="D91" s="1">
        <f>IF(C91,C91+Q84,"")</f>
        <v>576.1</v>
      </c>
      <c r="E91" s="72">
        <f t="shared" ref="E91:E93" si="26">IF(C91,C91/D91,"")</f>
        <v>5.3810102412775555E-3</v>
      </c>
      <c r="F91" s="14" t="str">
        <f>IF(AND(C91&lt;&gt;"",N82&lt;&gt;""),(M84/F84*E82+M85/F85*D82)/(C91+Q84),"")</f>
        <v/>
      </c>
      <c r="G91" s="1">
        <f>IF(C91,IF(AND(F84&lt;&gt;0,C82&lt;&gt;0),M85,M85/F85*D82)/(C91+Q85),"")</f>
        <v>1.3515042751314457</v>
      </c>
      <c r="H91" s="1">
        <f>IF(C91,(M86)/(C91+Q86),"")</f>
        <v>1.0704340704340705</v>
      </c>
      <c r="I91" s="1">
        <f>IF(C91,(M87)/(C91+Q87),"")</f>
        <v>0</v>
      </c>
      <c r="J91" s="1">
        <f>IF(C91,(M88)/(C91+Q88),"")</f>
        <v>0</v>
      </c>
      <c r="K91" s="14" t="str">
        <f>IF(AND(C91&lt;&gt;"",N82&lt;&gt;""),9.8*N82*LN((C91+Q84)/(C91+R84)),"")</f>
        <v/>
      </c>
      <c r="L91" s="1">
        <f>IF(C91,9.8*F85*LN((C91+Q85)/(C91+R85)),"")</f>
        <v>3997.7110329402021</v>
      </c>
      <c r="M91" s="1">
        <f>IF(C91,9.8*F86*LN((C91+Q86)/(C91+R86)),"")</f>
        <v>7727.6412341032492</v>
      </c>
      <c r="N91" s="1">
        <f>IF(C91,9.8*F87*LN((C91+Q87)/(C91+R87)),"")</f>
        <v>0</v>
      </c>
      <c r="O91" s="1">
        <f>IF(C91,9.8*F88*LN((C91+Q88)/(C91+R88)),"")</f>
        <v>0</v>
      </c>
      <c r="P91" s="15">
        <f>IF(C91,SUM(K91:O91),"")</f>
        <v>11725.35226704345</v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36</v>
      </c>
      <c r="C92" s="9"/>
      <c r="D92" s="1" t="str">
        <f>IF(C92,C92+Q84,"")</f>
        <v/>
      </c>
      <c r="E92" s="72" t="str">
        <f t="shared" si="26"/>
        <v/>
      </c>
      <c r="F92" s="14" t="str">
        <f>IF(AND(C92&lt;&gt;"",N82&lt;&gt;""),(M84/F84*E82+M85/F85*D82)/(C92+Q84),"")</f>
        <v/>
      </c>
      <c r="G92" s="1" t="str">
        <f>IF(C92,IF(AND(F84&lt;&gt;0,C82&lt;&gt;0),M85,M85/F85*D82)/(C92+Q85),"")</f>
        <v/>
      </c>
      <c r="H92" s="1" t="str">
        <f>IF(C92,(M86)/(C92+Q86),"")</f>
        <v/>
      </c>
      <c r="I92" s="1" t="str">
        <f>IF(C92,(M87)/(C92+Q87),"")</f>
        <v/>
      </c>
      <c r="J92" s="1" t="str">
        <f>IF(C92,(M88)/(C92+Q88),"")</f>
        <v/>
      </c>
      <c r="K92" s="14" t="str">
        <f>IF(AND(C92&lt;&gt;"",N82&lt;&gt;""),9.8*N82*LN((C92+Q84)/(C92+R84)),"")</f>
        <v/>
      </c>
      <c r="L92" s="1" t="str">
        <f>IF(C92,9.8*F85*LN((C92+Q85)/(C92+R85)),"")</f>
        <v/>
      </c>
      <c r="M92" s="1" t="str">
        <f>IF(C92,9.8*F86*LN((C92+Q86)/(C92+R86)),"")</f>
        <v/>
      </c>
      <c r="N92" s="1" t="str">
        <f>IF(C92,9.8*F87*LN((C92+Q87)/(C92+R87)),"")</f>
        <v/>
      </c>
      <c r="O92" s="1" t="str">
        <f>IF(C92,9.8*F88*LN((C92+Q88)/(C92+R88)),"")</f>
        <v/>
      </c>
      <c r="P92" s="15" t="str">
        <f>IF(C92,SUM(K92:O92),"")</f>
        <v/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>
        <v>14</v>
      </c>
      <c r="D93" s="1">
        <f>IF(C93,C93+Q84,"")</f>
        <v>587</v>
      </c>
      <c r="E93" s="72">
        <f t="shared" si="26"/>
        <v>2.385008517887564E-2</v>
      </c>
      <c r="F93" s="14" t="str">
        <f>IF(AND(C93&lt;&gt;"",N82&lt;&gt;""),(M84/F84*E82+M85/F85*D82)/(C93+Q84),"")</f>
        <v/>
      </c>
      <c r="G93" s="1">
        <f>IF(C93,IF(AND(F84&lt;&gt;0,C82&lt;&gt;0),M85,M85/F85*D82)/(C93+Q85),"")</f>
        <v>1.3264081991537067</v>
      </c>
      <c r="H93" s="1">
        <f>IF(C93,(M86)/(C93+Q86),"")</f>
        <v>0.9827067669172932</v>
      </c>
      <c r="I93" s="1">
        <f>IF(C93,(M87)/(C93+Q87),"")</f>
        <v>0</v>
      </c>
      <c r="J93" s="1">
        <f>IF(C93,(M88)/(C93+Q88),"")</f>
        <v>0</v>
      </c>
      <c r="K93" s="14" t="str">
        <f>IF(AND(C93&lt;&gt;"",N82&lt;&gt;""),9.8*N82*LN((C93+Q84)/(C93+R84)),"")</f>
        <v/>
      </c>
      <c r="L93" s="1">
        <f>IF(C93,9.8*F85*LN((C93+Q85)/(C93+R85)),"")</f>
        <v>3847.5823740599249</v>
      </c>
      <c r="M93" s="1">
        <f>IF(C93,9.8*F86*LN((C93+Q86)/(C93+R86)),"")</f>
        <v>5833.345427814359</v>
      </c>
      <c r="N93" s="1">
        <f>IF(C93,9.8*F87*LN((C93+Q87)/(C93+R87)),"")</f>
        <v>0</v>
      </c>
      <c r="O93" s="1">
        <f>IF(C93,9.8*F88*LN((C93+Q88)/(C93+R88)),"")</f>
        <v>0</v>
      </c>
      <c r="P93" s="15">
        <f>IF(C93,SUM(K93:O93),"")</f>
        <v>9680.9278018742843</v>
      </c>
      <c r="Q93" s="17" t="s">
        <v>351</v>
      </c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54</v>
      </c>
      <c r="D94" s="12" t="s">
        <v>28</v>
      </c>
      <c r="E94" s="12" t="s">
        <v>266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85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>
        <v>10.5</v>
      </c>
      <c r="D95" s="1">
        <f>IF(C95,C95+Q84,"")</f>
        <v>583.5</v>
      </c>
      <c r="E95" s="72">
        <f>IF(C95,C95/D95,"")</f>
        <v>1.7994858611825194E-2</v>
      </c>
      <c r="F95" s="14" t="str">
        <f>IF(AND(C95&lt;&gt;"",N82&lt;&gt;""),(M84/F84*E82+M85/F85*D82)/(C95+U84),"")</f>
        <v/>
      </c>
      <c r="G95" s="1">
        <f>IF(C95,IF(AND(F84&lt;&gt;0,C82&lt;&gt;0),M85,M85/F85*D82)/(C95+U85),"")</f>
        <v>1.3343643751554857</v>
      </c>
      <c r="H95" s="1">
        <f>IF(C95,(M86)/(C95+U86),"")</f>
        <v>1.0092664092664092</v>
      </c>
      <c r="I95" s="1">
        <f>IF(C95,(M87)/(C95+U87),"")</f>
        <v>0</v>
      </c>
      <c r="J95" s="1">
        <f>IF(C95,(M88)/(C95+U88),"")</f>
        <v>0</v>
      </c>
      <c r="K95" s="14" t="str">
        <f>IF(AND(C95&lt;&gt;"",N82&lt;&gt;""),9.8*N82*LN((C95+U84)/(C95+V84)),"")</f>
        <v/>
      </c>
      <c r="L95" s="1">
        <f>IF(C95,9.8*F85*LN((C95+U85)/(C95+V85)),"")</f>
        <v>3014.6862176242171</v>
      </c>
      <c r="M95" s="1">
        <f>IF(C95,9.8*F86*LN((C95+U86)/(C95+V86)),"")</f>
        <v>6300.8711641778582</v>
      </c>
      <c r="N95" s="1">
        <f>IF(C95,9.8*F87*LN((C95+U87)/(C95+V87)),"")</f>
        <v>0</v>
      </c>
      <c r="O95" s="1">
        <f>IF(C95,9.8*F88*LN((C95+U88)/(C95+V88)),"")</f>
        <v>0</v>
      </c>
      <c r="P95" s="15">
        <f>IF(C95,SUM(K95:O95),"")</f>
        <v>9315.5573818020748</v>
      </c>
      <c r="Q95" s="1"/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>
        <v>0.1</v>
      </c>
      <c r="D96" s="1">
        <f>IF(C96,C96+Q84,"")</f>
        <v>573.1</v>
      </c>
      <c r="E96" s="72">
        <f t="shared" ref="E96:E98" si="28">IF(C96,C96/D96,"")</f>
        <v>1.7448961786773688E-4</v>
      </c>
      <c r="F96" s="14" t="str">
        <f>IF(AND(C96&lt;&gt;"",N82&lt;&gt;""),(M84/F84*E82+M85/F85*D82)/(C96+U84),"")</f>
        <v/>
      </c>
      <c r="G96" s="1">
        <f>IF(C96,IF(AND(F84&lt;&gt;0,C82&lt;&gt;0),M85,M85/F85*D82)/(C96+U85),"")</f>
        <v>1.3585789790668745</v>
      </c>
      <c r="H96" s="1">
        <f>IF(C96,(M86)/(C96+U86),"")</f>
        <v>1.0973971452560873</v>
      </c>
      <c r="I96" s="1">
        <f>IF(C96,(M87)/(C96+U87),"")</f>
        <v>0</v>
      </c>
      <c r="J96" s="1">
        <f>IF(C96,(M88)/(C96+U88),"")</f>
        <v>0</v>
      </c>
      <c r="K96" s="14" t="str">
        <f>IF(AND(C96&lt;&gt;"",N82&lt;&gt;""),9.8*N82*LN((C96+U84)/(C96+V84)),"")</f>
        <v/>
      </c>
      <c r="L96" s="1">
        <f>IF(C96,9.8*F85*LN((C96+U85)/(C96+V85)),"")</f>
        <v>3109.7417544940895</v>
      </c>
      <c r="M96" s="1">
        <f>IF(C96,9.8*F86*LN((C96+U86)/(C96+V86)),"")</f>
        <v>8628.3847795931852</v>
      </c>
      <c r="N96" s="1">
        <f>IF(C96,9.8*F87*LN((C96+U87)/(C96+V87)),"")</f>
        <v>0</v>
      </c>
      <c r="O96" s="1">
        <f>IF(C96,9.8*F88*LN((C96+U88)/(C96+V88)),"")</f>
        <v>0</v>
      </c>
      <c r="P96" s="15">
        <f>IF(C96,SUM(K96:O96),"")</f>
        <v>11738.126534087274</v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46</v>
      </c>
      <c r="B98" s="49" t="s">
        <v>33</v>
      </c>
      <c r="C98" s="50">
        <v>8.3000000000000007</v>
      </c>
      <c r="D98" s="25">
        <f>IF(C98,C98+Q84,"")</f>
        <v>581.29999999999995</v>
      </c>
      <c r="E98" s="73">
        <f t="shared" si="28"/>
        <v>1.4278341648030279E-2</v>
      </c>
      <c r="F98" s="70" t="str">
        <f>IF(AND(C98&lt;&gt;"",N82&lt;&gt;""),(M84/F84*E82+M85/F85*D82)/(C98+U84),"")</f>
        <v/>
      </c>
      <c r="G98" s="25">
        <f>IF(C98,IF(AND(F84&lt;&gt;0,C82&lt;&gt;0),M85,M85/F85*D82)/(C98+U85),"")</f>
        <v>1.339414438161407</v>
      </c>
      <c r="H98" s="25">
        <f>IF(C98,(M86)/(C98+U86),"")</f>
        <v>1.0267085624509034</v>
      </c>
      <c r="I98" s="25">
        <f>IF(C98,(M87)/(C98+U87),"")</f>
        <v>0</v>
      </c>
      <c r="J98" s="25">
        <f>IF(C98,(M88)/(C98+U88),"")</f>
        <v>0</v>
      </c>
      <c r="K98" s="70" t="str">
        <f>IF(AND(C98&lt;&gt;"",N82&lt;&gt;""),9.8*N82*LN((C98+U84)/(C98+V84)),"")</f>
        <v/>
      </c>
      <c r="L98" s="25">
        <f>IF(C98,9.8*F85*LN((C98+U85)/(C98+V85)),"")</f>
        <v>3034.2665050403411</v>
      </c>
      <c r="M98" s="25">
        <f>IF(C98,9.8*F86*LN((C98+U86)/(C98+V86)),"")</f>
        <v>6648.6252936830679</v>
      </c>
      <c r="N98" s="25">
        <f>IF(C98,9.8*F87*LN((C98+U87)/(C98+V87)),"")</f>
        <v>0</v>
      </c>
      <c r="O98" s="25">
        <f>IF(C98,9.8*F88*LN((C98+U88)/(C98+V88)),"")</f>
        <v>0</v>
      </c>
      <c r="P98" s="71">
        <f>IF(C98,SUM(K98:O98),"")</f>
        <v>9682.891798723409</v>
      </c>
      <c r="Q98" s="25" t="s">
        <v>352</v>
      </c>
      <c r="R98" s="25"/>
      <c r="S98" s="25"/>
      <c r="T98" s="51" t="str">
        <f t="shared" si="29"/>
        <v/>
      </c>
      <c r="U98" s="25"/>
      <c r="V98" s="25"/>
    </row>
    <row r="99" spans="1:22" ht="15" thickBot="1"/>
    <row r="100" spans="1:22" ht="15" thickBot="1">
      <c r="A100" s="52" t="s">
        <v>349</v>
      </c>
      <c r="B100" s="52"/>
      <c r="C100" s="29" t="s">
        <v>0</v>
      </c>
      <c r="D100" s="90" t="s">
        <v>41</v>
      </c>
      <c r="E100" s="90"/>
      <c r="F100" s="43"/>
      <c r="G100" s="43"/>
      <c r="H100" s="43"/>
      <c r="I100" s="86" t="s">
        <v>42</v>
      </c>
      <c r="J100" s="86"/>
      <c r="K100" s="86"/>
      <c r="L100" s="54" t="s">
        <v>70</v>
      </c>
      <c r="M100" s="86" t="s">
        <v>71</v>
      </c>
      <c r="N100" s="86"/>
      <c r="O100" s="87"/>
      <c r="P100" s="29" t="s">
        <v>49</v>
      </c>
      <c r="Q100" s="34" t="str">
        <f>IF(OR(P104&lt;P103,T104&lt;T103),"芯级燃烧时间不得小于助推燃烧时间！","")</f>
        <v/>
      </c>
      <c r="R100" s="44"/>
      <c r="S100" s="45"/>
      <c r="T100" s="29"/>
      <c r="U100" s="46" t="s">
        <v>45</v>
      </c>
      <c r="V100" s="46" t="s">
        <v>48</v>
      </c>
    </row>
    <row r="101" spans="1:22" ht="15" thickBot="1">
      <c r="A101" s="40" t="s">
        <v>329</v>
      </c>
      <c r="B101" s="39"/>
      <c r="C101" s="2">
        <v>0</v>
      </c>
      <c r="D101" s="2">
        <v>285</v>
      </c>
      <c r="E101" s="2">
        <v>0</v>
      </c>
      <c r="F101" s="41"/>
      <c r="G101" s="42"/>
      <c r="H101" s="42"/>
      <c r="I101" s="24" t="s">
        <v>350</v>
      </c>
      <c r="J101" s="24"/>
      <c r="K101" s="24"/>
      <c r="L101" s="55">
        <f>IFERROR(IF(AND(F103&lt;&gt;0,C101&lt;&gt;0),M103/F103*E101+M104/F104*D101,M104/F104*D101),0)</f>
        <v>778.60161290322583</v>
      </c>
      <c r="M101" s="53" t="s">
        <v>45</v>
      </c>
      <c r="N101" s="17" t="str">
        <f>IF(AND(F103&lt;&gt;0,C101&lt;&gt;0),(M103+M104)/(M103/F103+M104/F104),"")</f>
        <v/>
      </c>
      <c r="O101" s="56" t="s">
        <v>46</v>
      </c>
      <c r="P101" s="89" t="s">
        <v>17</v>
      </c>
      <c r="Q101" s="89"/>
      <c r="R101" s="91"/>
      <c r="S101" s="88" t="s">
        <v>18</v>
      </c>
      <c r="T101" s="89"/>
      <c r="U101" s="89"/>
      <c r="V101" s="89"/>
    </row>
    <row r="102" spans="1:22" ht="15" thickBot="1">
      <c r="A102" s="33" t="s">
        <v>45</v>
      </c>
      <c r="B102" s="26" t="s">
        <v>39</v>
      </c>
      <c r="C102" s="1" t="s">
        <v>60</v>
      </c>
      <c r="D102" s="1" t="s">
        <v>61</v>
      </c>
      <c r="E102" s="1" t="s">
        <v>62</v>
      </c>
      <c r="F102" s="1" t="s">
        <v>63</v>
      </c>
      <c r="G102" s="1" t="s">
        <v>64</v>
      </c>
      <c r="H102" s="1" t="s">
        <v>65</v>
      </c>
      <c r="I102" s="60" t="s">
        <v>345</v>
      </c>
      <c r="J102" s="24"/>
      <c r="K102" s="24"/>
      <c r="L102" s="11" t="s">
        <v>6</v>
      </c>
      <c r="M102" s="12" t="s">
        <v>69</v>
      </c>
      <c r="N102" s="12" t="s">
        <v>15</v>
      </c>
      <c r="O102" s="13" t="s">
        <v>14</v>
      </c>
      <c r="P102" s="14" t="s">
        <v>12</v>
      </c>
      <c r="Q102" s="1" t="s">
        <v>10</v>
      </c>
      <c r="R102" s="15" t="s">
        <v>11</v>
      </c>
      <c r="S102" s="14" t="s">
        <v>13</v>
      </c>
      <c r="T102" s="1" t="s">
        <v>16</v>
      </c>
      <c r="U102" s="1" t="s">
        <v>10</v>
      </c>
      <c r="V102" s="1" t="s">
        <v>11</v>
      </c>
    </row>
    <row r="103" spans="1:22">
      <c r="A103" s="40"/>
      <c r="B103" s="27" t="s">
        <v>3</v>
      </c>
      <c r="C103" s="3"/>
      <c r="D103" s="4"/>
      <c r="E103" s="4"/>
      <c r="F103" s="4"/>
      <c r="G103" s="19"/>
      <c r="H103" s="20"/>
      <c r="I103" s="24"/>
      <c r="J103" s="24"/>
      <c r="K103" s="24"/>
      <c r="L103" s="14">
        <f>C103*C101</f>
        <v>0</v>
      </c>
      <c r="M103" s="1">
        <f>E103*C101</f>
        <v>0</v>
      </c>
      <c r="N103" s="1">
        <f>IF(D103,L103/D103,0)</f>
        <v>0</v>
      </c>
      <c r="O103" s="15">
        <f>L103-N103</f>
        <v>0</v>
      </c>
      <c r="P103" s="14">
        <f>IF(AND(F103&lt;&gt;0,C101&lt;&gt;0),O103/M103*F103/IF(G103,G103,1),0)</f>
        <v>0</v>
      </c>
      <c r="Q103" s="1">
        <f>SUM(L103:L107)</f>
        <v>573</v>
      </c>
      <c r="R103" s="15">
        <f>N103+Q104</f>
        <v>573</v>
      </c>
      <c r="S103" s="14">
        <f>N103+H103*O103</f>
        <v>0</v>
      </c>
      <c r="T103" s="1">
        <f>IF(AND(F103&lt;&gt;0,C101&lt;&gt;0),(1-H103)*O103/M103*F103/IF(G103,G103,1),0)</f>
        <v>0</v>
      </c>
      <c r="U103" s="1">
        <f>SUM(L103:L107)</f>
        <v>573</v>
      </c>
      <c r="V103" s="1">
        <f>S103+U104</f>
        <v>573</v>
      </c>
    </row>
    <row r="104" spans="1:22">
      <c r="A104" s="47"/>
      <c r="B104" s="27">
        <v>1</v>
      </c>
      <c r="C104" s="5">
        <v>454</v>
      </c>
      <c r="D104" s="1">
        <v>16</v>
      </c>
      <c r="E104" s="1">
        <v>846.9</v>
      </c>
      <c r="F104" s="1">
        <v>310</v>
      </c>
      <c r="G104" s="5">
        <v>1</v>
      </c>
      <c r="H104" s="21">
        <v>0.111</v>
      </c>
      <c r="I104" s="30" t="s">
        <v>387</v>
      </c>
      <c r="J104" s="30"/>
      <c r="K104" s="30"/>
      <c r="L104" s="14">
        <f>C104</f>
        <v>454</v>
      </c>
      <c r="M104" s="1">
        <f>E104</f>
        <v>846.9</v>
      </c>
      <c r="N104" s="1">
        <f>IF(D104,L104/D104,0)</f>
        <v>28.375</v>
      </c>
      <c r="O104" s="15">
        <f>L104-N104</f>
        <v>425.625</v>
      </c>
      <c r="P104" s="14">
        <f t="shared" ref="P104:P107" si="30">IF(F104,O104/M104*F104/IF(G104,G104,1),0)</f>
        <v>155.79613885936948</v>
      </c>
      <c r="Q104" s="1">
        <f>IF(F104,SUM(L104:L107)-P103*M104/F104*IF(G104,G104,1),0)</f>
        <v>573</v>
      </c>
      <c r="R104" s="15">
        <f>N104+Q105</f>
        <v>147.375</v>
      </c>
      <c r="S104" s="14">
        <f>N104+H104*O104</f>
        <v>75.619374999999991</v>
      </c>
      <c r="T104" s="1">
        <f>IF(F104,(1-H104)*O104/M104*F104/IF(G104,G104,1),0)</f>
        <v>138.50276744597946</v>
      </c>
      <c r="U104" s="1">
        <f>IF(F104,SUM(L104:L107)-T103*M104/F104*IF(G104,G104,1),0)</f>
        <v>573</v>
      </c>
      <c r="V104" s="1">
        <f>S104+U105</f>
        <v>194.61937499999999</v>
      </c>
    </row>
    <row r="105" spans="1:22">
      <c r="A105" s="47"/>
      <c r="B105" s="27">
        <v>2</v>
      </c>
      <c r="C105" s="5">
        <v>119</v>
      </c>
      <c r="D105" s="1">
        <v>20</v>
      </c>
      <c r="E105" s="1">
        <v>130.69999999999999</v>
      </c>
      <c r="F105" s="1">
        <v>346</v>
      </c>
      <c r="G105" s="5"/>
      <c r="H105" s="21"/>
      <c r="I105" s="30" t="s">
        <v>388</v>
      </c>
      <c r="J105" s="30"/>
      <c r="K105" s="30"/>
      <c r="L105" s="14">
        <f>C105</f>
        <v>119</v>
      </c>
      <c r="M105" s="1">
        <f>E105</f>
        <v>130.69999999999999</v>
      </c>
      <c r="N105" s="1">
        <f>IF(D105,L105/D105,0)</f>
        <v>5.95</v>
      </c>
      <c r="O105" s="15">
        <f>L105-N105</f>
        <v>113.05</v>
      </c>
      <c r="P105" s="14">
        <f t="shared" si="30"/>
        <v>299.27543993879112</v>
      </c>
      <c r="Q105" s="1">
        <f>SUM(L105:L107)</f>
        <v>119</v>
      </c>
      <c r="R105" s="15">
        <f>N105+Q106</f>
        <v>5.95</v>
      </c>
      <c r="S105" s="14">
        <f>N105+H105*O105</f>
        <v>5.95</v>
      </c>
      <c r="T105" s="1">
        <f t="shared" ref="T105:T107" si="31">IF(F105,(1-H105)*O105/M105*F105/IF(G105,G105,1),0)</f>
        <v>299.27543993879112</v>
      </c>
      <c r="U105" s="1">
        <f>SUM(L105:L107)</f>
        <v>119</v>
      </c>
      <c r="V105" s="1">
        <f>S105+U106</f>
        <v>5.95</v>
      </c>
    </row>
    <row r="106" spans="1:22">
      <c r="A106" s="33" t="s">
        <v>45</v>
      </c>
      <c r="B106" s="27">
        <v>3</v>
      </c>
      <c r="C106" s="5"/>
      <c r="D106" s="1"/>
      <c r="E106" s="1"/>
      <c r="F106" s="1"/>
      <c r="G106" s="5"/>
      <c r="H106" s="21"/>
      <c r="I106" s="30"/>
      <c r="J106" s="30"/>
      <c r="K106" s="30"/>
      <c r="L106" s="14">
        <f>C106</f>
        <v>0</v>
      </c>
      <c r="M106" s="1">
        <f>E106</f>
        <v>0</v>
      </c>
      <c r="N106" s="1">
        <f>IF(D106,L106/D106,0)</f>
        <v>0</v>
      </c>
      <c r="O106" s="15">
        <f>L106-N106</f>
        <v>0</v>
      </c>
      <c r="P106" s="14">
        <f t="shared" si="30"/>
        <v>0</v>
      </c>
      <c r="Q106" s="1">
        <f>SUM(L106:L107)</f>
        <v>0</v>
      </c>
      <c r="R106" s="15">
        <f>N106+Q107</f>
        <v>0</v>
      </c>
      <c r="S106" s="14">
        <f>N106+H106*O106</f>
        <v>0</v>
      </c>
      <c r="T106" s="1">
        <f t="shared" si="31"/>
        <v>0</v>
      </c>
      <c r="U106" s="1">
        <f>SUM(L106:L107)</f>
        <v>0</v>
      </c>
      <c r="V106" s="1">
        <f>S106+U107</f>
        <v>0</v>
      </c>
    </row>
    <row r="107" spans="1:22" ht="15" thickBot="1">
      <c r="A107" s="40"/>
      <c r="B107" s="28">
        <v>4</v>
      </c>
      <c r="C107" s="6"/>
      <c r="D107" s="7"/>
      <c r="E107" s="7"/>
      <c r="F107" s="7"/>
      <c r="G107" s="22"/>
      <c r="H107" s="23"/>
      <c r="I107" s="24"/>
      <c r="J107" s="24"/>
      <c r="K107" s="24"/>
      <c r="L107" s="16">
        <f>C107</f>
        <v>0</v>
      </c>
      <c r="M107" s="17">
        <f>E107</f>
        <v>0</v>
      </c>
      <c r="N107" s="17">
        <f>IF(D107,L107/D107,0)</f>
        <v>0</v>
      </c>
      <c r="O107" s="18">
        <f>L107-N107</f>
        <v>0</v>
      </c>
      <c r="P107" s="14">
        <f t="shared" si="30"/>
        <v>0</v>
      </c>
      <c r="Q107" s="17">
        <f>SUM(L107:L107)</f>
        <v>0</v>
      </c>
      <c r="R107" s="18">
        <f>N107</f>
        <v>0</v>
      </c>
      <c r="S107" s="16">
        <f>N107+H107*O107</f>
        <v>0</v>
      </c>
      <c r="T107" s="17">
        <f t="shared" si="31"/>
        <v>0</v>
      </c>
      <c r="U107" s="17">
        <f>SUM(L107:L107)</f>
        <v>0</v>
      </c>
      <c r="V107" s="17">
        <f>S107</f>
        <v>0</v>
      </c>
    </row>
    <row r="108" spans="1:22" ht="15" thickBot="1">
      <c r="A108" s="47"/>
      <c r="B108" s="26" t="s">
        <v>38</v>
      </c>
      <c r="C108" s="1" t="s">
        <v>4</v>
      </c>
      <c r="D108" s="1" t="s">
        <v>28</v>
      </c>
      <c r="E108" s="1" t="s">
        <v>265</v>
      </c>
      <c r="F108" s="69" t="s">
        <v>40</v>
      </c>
      <c r="G108" s="1" t="s">
        <v>29</v>
      </c>
      <c r="H108" s="1" t="s">
        <v>23</v>
      </c>
      <c r="I108" s="12" t="s">
        <v>24</v>
      </c>
      <c r="J108" s="12" t="s">
        <v>25</v>
      </c>
      <c r="K108" s="11" t="s">
        <v>19</v>
      </c>
      <c r="L108" s="12" t="s">
        <v>26</v>
      </c>
      <c r="M108" s="12" t="s">
        <v>20</v>
      </c>
      <c r="N108" s="12" t="s">
        <v>21</v>
      </c>
      <c r="O108" s="12" t="s">
        <v>22</v>
      </c>
      <c r="P108" s="13" t="s">
        <v>27</v>
      </c>
      <c r="Q108" s="85" t="s">
        <v>42</v>
      </c>
      <c r="R108" s="85"/>
      <c r="S108" s="85"/>
      <c r="T108" s="31" t="s">
        <v>50</v>
      </c>
      <c r="U108" s="35" t="s">
        <v>47</v>
      </c>
      <c r="V108" s="36" t="s">
        <v>264</v>
      </c>
    </row>
    <row r="109" spans="1:22">
      <c r="A109" s="47"/>
      <c r="B109" s="27" t="s">
        <v>30</v>
      </c>
      <c r="C109" s="8">
        <v>22</v>
      </c>
      <c r="D109" s="1">
        <f>IF(C109,C109+Q103,"")</f>
        <v>595</v>
      </c>
      <c r="E109" s="72">
        <f>IF(C109,C109/D109,"")</f>
        <v>3.6974789915966387E-2</v>
      </c>
      <c r="F109" s="14" t="str">
        <f>IF(AND(C109&lt;&gt;"",N101&lt;&gt;""),(M103/F103*E101+M104/F104*D101)/(C109+Q103),"")</f>
        <v/>
      </c>
      <c r="G109" s="1">
        <f>IF(C109,IF(AND(F103&lt;&gt;0,C101&lt;&gt;0),M104,M104/F104*D101)/(C109+Q104),"")</f>
        <v>1.3085741393331527</v>
      </c>
      <c r="H109" s="1">
        <f>IF(C109,(M105)/(C109+Q105),"")</f>
        <v>0.92695035460992903</v>
      </c>
      <c r="I109" s="1">
        <f>IF(C109,(M106)/(C109+Q106),"")</f>
        <v>0</v>
      </c>
      <c r="J109" s="1">
        <f>IF(C109,(M107)/(C109+Q107),"")</f>
        <v>0</v>
      </c>
      <c r="K109" s="14" t="str">
        <f>IF(AND(C109&lt;&gt;"",N101&lt;&gt;""),9.8*N101*LN((C109+Q103)/(C109+R103)),"")</f>
        <v/>
      </c>
      <c r="L109" s="1">
        <f>IF(C109,9.8*F104*LN((C109+Q104)/(C109+R104)),"")</f>
        <v>3817.0835978636364</v>
      </c>
      <c r="M109" s="1">
        <f>IF(C109,9.8*F105*LN((C109+Q105)/(C109+R105)),"")</f>
        <v>5487.4763958868562</v>
      </c>
      <c r="N109" s="1">
        <f>IF(C109,9.8*F106*LN((C109+Q106)/(C109+R106)),"")</f>
        <v>0</v>
      </c>
      <c r="O109" s="1">
        <f>IF(C109,9.8*F107*LN((C109+Q107)/(C109+R107)),"")</f>
        <v>0</v>
      </c>
      <c r="P109" s="15">
        <f>IF(C109,SUM(K109:O109),"")</f>
        <v>9304.5599937504921</v>
      </c>
      <c r="Q109" s="1"/>
      <c r="R109" s="1"/>
      <c r="S109" s="1"/>
      <c r="T109" s="32" t="str">
        <f>IF(OR(F109&lt;1,AND(F109="",G109&lt;1)),"起飞推重比不得小于0，空天飞机除外","")</f>
        <v/>
      </c>
      <c r="U109" s="1"/>
      <c r="V109" s="1"/>
    </row>
    <row r="110" spans="1:22">
      <c r="A110" s="33" t="s">
        <v>47</v>
      </c>
      <c r="B110" s="27" t="s">
        <v>31</v>
      </c>
      <c r="C110" s="9">
        <v>7</v>
      </c>
      <c r="D110" s="1">
        <f>IF(C110,C110+Q103,"")</f>
        <v>580</v>
      </c>
      <c r="E110" s="72">
        <f t="shared" ref="E110:E112" si="32">IF(C110,C110/D110,"")</f>
        <v>1.2068965517241379E-2</v>
      </c>
      <c r="F110" s="14" t="str">
        <f>IF(AND(C110&lt;&gt;"",N101&lt;&gt;""),(M103/F103*E101+M104/F104*D101)/(C110+Q103),"")</f>
        <v/>
      </c>
      <c r="G110" s="1">
        <f>IF(C110,IF(AND(F103&lt;&gt;0,C101&lt;&gt;0),M104,M104/F104*D101)/(C110+Q104),"")</f>
        <v>1.3424165739710789</v>
      </c>
      <c r="H110" s="1">
        <f>IF(C110,(M105)/(C110+Q105),"")</f>
        <v>1.0373015873015872</v>
      </c>
      <c r="I110" s="1">
        <f>IF(C110,(M106)/(C110+Q106),"")</f>
        <v>0</v>
      </c>
      <c r="J110" s="1">
        <f>IF(C110,(M107)/(C110+Q107),"")</f>
        <v>0</v>
      </c>
      <c r="K110" s="14" t="str">
        <f>IF(AND(C110&lt;&gt;"",N101&lt;&gt;""),9.8*N101*LN((C110+Q103)/(C110+R103)),"")</f>
        <v/>
      </c>
      <c r="L110" s="1">
        <f>IF(C110,9.8*F104*LN((C110+Q104)/(C110+R104)),"")</f>
        <v>4021.2286375286831</v>
      </c>
      <c r="M110" s="1">
        <f>IF(C110,9.8*F105*LN((C110+Q105)/(C110+R105)),"")</f>
        <v>7714.7010916471527</v>
      </c>
      <c r="N110" s="1">
        <f>IF(C110,9.8*F106*LN((C110+Q106)/(C110+R106)),"")</f>
        <v>0</v>
      </c>
      <c r="O110" s="1">
        <f>IF(C110,9.8*F107*LN((C110+Q107)/(C110+R107)),"")</f>
        <v>0</v>
      </c>
      <c r="P110" s="15">
        <f>IF(C110,SUM(K110:O110),"")</f>
        <v>11735.929729175836</v>
      </c>
      <c r="Q110" s="1"/>
      <c r="R110" s="1"/>
      <c r="S110" s="1"/>
      <c r="T110" s="32" t="str">
        <f t="shared" ref="T110:T112" si="33">IF(OR(F110&lt;1,AND(F110="",G110&lt;1)),"起飞推重比不得小于0，空天飞机除外","")</f>
        <v/>
      </c>
      <c r="U110" s="1"/>
      <c r="V110" s="1"/>
    </row>
    <row r="111" spans="1:22">
      <c r="A111" s="40"/>
      <c r="B111" s="27" t="s">
        <v>36</v>
      </c>
      <c r="C111" s="9"/>
      <c r="D111" s="1" t="str">
        <f>IF(C111,C111+Q103,"")</f>
        <v/>
      </c>
      <c r="E111" s="72" t="str">
        <f t="shared" si="32"/>
        <v/>
      </c>
      <c r="F111" s="14" t="str">
        <f>IF(AND(C111&lt;&gt;"",N101&lt;&gt;""),(M103/F103*E101+M104/F104*D101)/(C111+Q103),"")</f>
        <v/>
      </c>
      <c r="G111" s="1" t="str">
        <f>IF(C111,IF(AND(F103&lt;&gt;0,C101&lt;&gt;0),M104,M104/F104*D101)/(C111+Q104),"")</f>
        <v/>
      </c>
      <c r="H111" s="1" t="str">
        <f>IF(C111,(M105)/(C111+Q105),"")</f>
        <v/>
      </c>
      <c r="I111" s="1" t="str">
        <f>IF(C111,(M106)/(C111+Q106),"")</f>
        <v/>
      </c>
      <c r="J111" s="1" t="str">
        <f>IF(C111,(M107)/(C111+Q107),"")</f>
        <v/>
      </c>
      <c r="K111" s="14" t="str">
        <f>IF(AND(C111&lt;&gt;"",N101&lt;&gt;""),9.8*N101*LN((C111+Q103)/(C111+R103)),"")</f>
        <v/>
      </c>
      <c r="L111" s="1" t="str">
        <f>IF(C111,9.8*F104*LN((C111+Q104)/(C111+R104)),"")</f>
        <v/>
      </c>
      <c r="M111" s="1" t="str">
        <f>IF(C111,9.8*F105*LN((C111+Q105)/(C111+R105)),"")</f>
        <v/>
      </c>
      <c r="N111" s="1" t="str">
        <f>IF(C111,9.8*F106*LN((C111+Q106)/(C111+R106)),"")</f>
        <v/>
      </c>
      <c r="O111" s="1" t="str">
        <f>IF(C111,9.8*F107*LN((C111+Q107)/(C111+R107)),"")</f>
        <v/>
      </c>
      <c r="P111" s="15" t="str">
        <f>IF(C111,SUM(K111:O111),"")</f>
        <v/>
      </c>
      <c r="Q111" s="1"/>
      <c r="R111" s="1"/>
      <c r="S111" s="1"/>
      <c r="T111" s="32" t="str">
        <f t="shared" si="33"/>
        <v/>
      </c>
      <c r="U111" s="1"/>
      <c r="V111" s="1"/>
    </row>
    <row r="112" spans="1:22" ht="15" thickBot="1">
      <c r="A112" s="47"/>
      <c r="B112" s="28" t="s">
        <v>5</v>
      </c>
      <c r="C112" s="10"/>
      <c r="D112" s="1" t="str">
        <f>IF(C112,C112+Q103,"")</f>
        <v/>
      </c>
      <c r="E112" s="72" t="str">
        <f t="shared" si="32"/>
        <v/>
      </c>
      <c r="F112" s="14" t="str">
        <f>IF(AND(C112&lt;&gt;"",N101&lt;&gt;""),(M103/F103*E101+M104/F104*D101)/(C112+Q103),"")</f>
        <v/>
      </c>
      <c r="G112" s="1" t="str">
        <f>IF(C112,IF(AND(F103&lt;&gt;0,C101&lt;&gt;0),M104,M104/F104*D101)/(C112+Q104),"")</f>
        <v/>
      </c>
      <c r="H112" s="1" t="str">
        <f>IF(C112,(M105)/(C112+Q105),"")</f>
        <v/>
      </c>
      <c r="I112" s="1" t="str">
        <f>IF(C112,(M106)/(C112+Q106),"")</f>
        <v/>
      </c>
      <c r="J112" s="1" t="str">
        <f>IF(C112,(M107)/(C112+Q107),"")</f>
        <v/>
      </c>
      <c r="K112" s="14" t="str">
        <f>IF(AND(C112&lt;&gt;"",N101&lt;&gt;""),9.8*N101*LN((C112+Q103)/(C112+R103)),"")</f>
        <v/>
      </c>
      <c r="L112" s="1" t="str">
        <f>IF(C112,9.8*F104*LN((C112+Q104)/(C112+R104)),"")</f>
        <v/>
      </c>
      <c r="M112" s="1" t="str">
        <f>IF(C112,9.8*F105*LN((C112+Q105)/(C112+R105)),"")</f>
        <v/>
      </c>
      <c r="N112" s="1" t="str">
        <f>IF(C112,9.8*F106*LN((C112+Q106)/(C112+R106)),"")</f>
        <v/>
      </c>
      <c r="O112" s="1" t="str">
        <f>IF(C112,9.8*F107*LN((C112+Q107)/(C112+R107)),"")</f>
        <v/>
      </c>
      <c r="P112" s="15" t="str">
        <f>IF(C112,SUM(K112:O112),"")</f>
        <v/>
      </c>
      <c r="Q112" s="17"/>
      <c r="R112" s="17"/>
      <c r="S112" s="17"/>
      <c r="T112" s="32" t="str">
        <f t="shared" si="33"/>
        <v/>
      </c>
      <c r="U112" s="1"/>
      <c r="V112" s="1"/>
    </row>
    <row r="113" spans="1:22" ht="15" thickBot="1">
      <c r="A113" s="33" t="s">
        <v>45</v>
      </c>
      <c r="B113" s="26" t="s">
        <v>37</v>
      </c>
      <c r="C113" s="1" t="s">
        <v>54</v>
      </c>
      <c r="D113" s="12" t="s">
        <v>28</v>
      </c>
      <c r="E113" s="12" t="s">
        <v>266</v>
      </c>
      <c r="F113" s="11" t="s">
        <v>40</v>
      </c>
      <c r="G113" s="12" t="s">
        <v>29</v>
      </c>
      <c r="H113" s="12" t="s">
        <v>23</v>
      </c>
      <c r="I113" s="12" t="s">
        <v>24</v>
      </c>
      <c r="J113" s="12" t="s">
        <v>25</v>
      </c>
      <c r="K113" s="11" t="s">
        <v>19</v>
      </c>
      <c r="L113" s="12" t="s">
        <v>26</v>
      </c>
      <c r="M113" s="12" t="s">
        <v>20</v>
      </c>
      <c r="N113" s="12" t="s">
        <v>21</v>
      </c>
      <c r="O113" s="12" t="s">
        <v>22</v>
      </c>
      <c r="P113" s="13" t="s">
        <v>27</v>
      </c>
      <c r="Q113" s="85" t="s">
        <v>42</v>
      </c>
      <c r="R113" s="85"/>
      <c r="S113" s="85"/>
      <c r="T113" s="12" t="s">
        <v>51</v>
      </c>
      <c r="U113" s="37" t="s">
        <v>45</v>
      </c>
      <c r="V113" s="38" t="s">
        <v>48</v>
      </c>
    </row>
    <row r="114" spans="1:22">
      <c r="A114" s="40"/>
      <c r="B114" s="27" t="s">
        <v>30</v>
      </c>
      <c r="C114" s="8">
        <v>16</v>
      </c>
      <c r="D114" s="1">
        <f>IF(C114,C114+Q103,"")</f>
        <v>589</v>
      </c>
      <c r="E114" s="72">
        <f>IF(C114,C114/D114,"")</f>
        <v>2.7164685908319185E-2</v>
      </c>
      <c r="F114" s="14" t="str">
        <f>IF(AND(C114&lt;&gt;"",N101&lt;&gt;""),(M103/F103*E101+M104/F104*D101)/(C114+U103),"")</f>
        <v/>
      </c>
      <c r="G114" s="1">
        <f>IF(C114,IF(AND(F103&lt;&gt;0,C101&lt;&gt;0),M104,M104/F104*D101)/(C114+U104),"")</f>
        <v>1.321904266389178</v>
      </c>
      <c r="H114" s="1">
        <f>IF(C114,(M105)/(C114+U105),"")</f>
        <v>0.96814814814814809</v>
      </c>
      <c r="I114" s="1">
        <f>IF(C114,(M106)/(C114+U106),"")</f>
        <v>0</v>
      </c>
      <c r="J114" s="1">
        <f>IF(C114,(M107)/(C114+U107),"")</f>
        <v>0</v>
      </c>
      <c r="K114" s="14" t="str">
        <f>IF(AND(C114&lt;&gt;"",N101&lt;&gt;""),9.8*N101*LN((C114+U103)/(C114+V103)),"")</f>
        <v/>
      </c>
      <c r="L114" s="1">
        <f>IF(C114,9.8*F104*LN((C114+U104)/(C114+V104)),"")</f>
        <v>3124.198963786152</v>
      </c>
      <c r="M114" s="1">
        <f>IF(C114,9.8*F105*LN((C114+U105)/(C114+V105)),"")</f>
        <v>6159.4141020406087</v>
      </c>
      <c r="N114" s="1">
        <f>IF(C114,9.8*F106*LN((C114+U106)/(C114+V106)),"")</f>
        <v>0</v>
      </c>
      <c r="O114" s="1">
        <f>IF(C114,9.8*F107*LN((C114+U107)/(C114+V107)),"")</f>
        <v>0</v>
      </c>
      <c r="P114" s="15">
        <f>IF(C114,SUM(K114:O114),"")</f>
        <v>9283.6130658267612</v>
      </c>
      <c r="Q114" s="1"/>
      <c r="R114" s="1"/>
      <c r="S114" s="1"/>
      <c r="T114" s="32" t="str">
        <f>IF(OR(F114&lt;1,AND(F114="",G114&lt;1)),"起飞推重比不得小于0，空天飞机除外","")</f>
        <v/>
      </c>
      <c r="U114" s="1"/>
      <c r="V114" s="1"/>
    </row>
    <row r="115" spans="1:22">
      <c r="A115" s="47"/>
      <c r="B115" s="27" t="s">
        <v>31</v>
      </c>
      <c r="C115" s="9">
        <v>4.0999999999999996</v>
      </c>
      <c r="D115" s="1">
        <f>IF(C115,C115+Q103,"")</f>
        <v>577.1</v>
      </c>
      <c r="E115" s="72">
        <f t="shared" ref="E115:E117" si="34">IF(C115,C115/D115,"")</f>
        <v>7.1044879570265106E-3</v>
      </c>
      <c r="F115" s="14" t="str">
        <f>IF(AND(C115&lt;&gt;"",N101&lt;&gt;""),(M103/F103*E101+M104/F104*D101)/(C115+U103),"")</f>
        <v/>
      </c>
      <c r="G115" s="1">
        <f>IF(C115,IF(AND(F103&lt;&gt;0,C101&lt;&gt;0),M104,M104/F104*D101)/(C115+U104),"")</f>
        <v>1.3491623859005819</v>
      </c>
      <c r="H115" s="1">
        <f>IF(C115,(M105)/(C115+U105),"")</f>
        <v>1.0617384240454915</v>
      </c>
      <c r="I115" s="1">
        <f>IF(C115,(M106)/(C115+U106),"")</f>
        <v>0</v>
      </c>
      <c r="J115" s="1">
        <f>IF(C115,(M107)/(C115+U107),"")</f>
        <v>0</v>
      </c>
      <c r="K115" s="14" t="str">
        <f>IF(AND(C115&lt;&gt;"",N101&lt;&gt;""),9.8*N101*LN((C115+U103)/(C115+V103)),"")</f>
        <v/>
      </c>
      <c r="L115" s="1">
        <f>IF(C115,9.8*F104*LN((C115+U104)/(C115+V104)),"")</f>
        <v>3238.8783568247436</v>
      </c>
      <c r="M115" s="1">
        <f>IF(C115,9.8*F105*LN((C115+U105)/(C115+V105)),"")</f>
        <v>8495.393051062194</v>
      </c>
      <c r="N115" s="1">
        <f>IF(C115,9.8*F106*LN((C115+U106)/(C115+V106)),"")</f>
        <v>0</v>
      </c>
      <c r="O115" s="1">
        <f>IF(C115,9.8*F107*LN((C115+U107)/(C115+V107)),"")</f>
        <v>0</v>
      </c>
      <c r="P115" s="15">
        <f>IF(C115,SUM(K115:O115),"")</f>
        <v>11734.271407886938</v>
      </c>
      <c r="Q115" s="1"/>
      <c r="R115" s="1"/>
      <c r="S115" s="1"/>
      <c r="T115" s="32" t="str">
        <f t="shared" ref="T115:T117" si="35">IF(OR(F115&lt;1,AND(F115="",G115&lt;1)),"起飞推重比不得小于0，空天飞机除外","")</f>
        <v/>
      </c>
      <c r="U115" s="1"/>
      <c r="V115" s="1"/>
    </row>
    <row r="116" spans="1:22">
      <c r="A116" s="47"/>
      <c r="B116" s="27" t="s">
        <v>32</v>
      </c>
      <c r="C116" s="9"/>
      <c r="D116" s="1" t="str">
        <f>IF(C116,C116+Q103,"")</f>
        <v/>
      </c>
      <c r="E116" s="72" t="str">
        <f t="shared" si="34"/>
        <v/>
      </c>
      <c r="F116" s="14" t="str">
        <f>IF(AND(C116&lt;&gt;"",N101&lt;&gt;""),(M103/F103*E101+M104/F104*D101)/(C116+U103),"")</f>
        <v/>
      </c>
      <c r="G116" s="1" t="str">
        <f>IF(C116,IF(AND(F103&lt;&gt;0,C101&lt;&gt;0),M104,M104/F104*D101)/(C116+U104),"")</f>
        <v/>
      </c>
      <c r="H116" s="1" t="str">
        <f>IF(C116,(M105)/(C116+U105),"")</f>
        <v/>
      </c>
      <c r="I116" s="1" t="str">
        <f>IF(C116,(M106)/(C116+U106),"")</f>
        <v/>
      </c>
      <c r="J116" s="1" t="str">
        <f>IF(C116,(M107)/(C116+U107),"")</f>
        <v/>
      </c>
      <c r="K116" s="14" t="str">
        <f>IF(AND(C116&lt;&gt;"",N101&lt;&gt;""),9.8*N101*LN((C116+U103)/(C116+V103)),"")</f>
        <v/>
      </c>
      <c r="L116" s="1" t="str">
        <f>IF(C116,9.8*F104*LN((C116+U104)/(C116+V104)),"")</f>
        <v/>
      </c>
      <c r="M116" s="1" t="str">
        <f>IF(C116,9.8*F105*LN((C116+U105)/(C116+V105)),"")</f>
        <v/>
      </c>
      <c r="N116" s="1" t="str">
        <f>IF(C116,9.8*F106*LN((C116+U106)/(C116+V106)),"")</f>
        <v/>
      </c>
      <c r="O116" s="1" t="str">
        <f>IF(C116,9.8*F107*LN((C116+U107)/(C116+V107)),"")</f>
        <v/>
      </c>
      <c r="P116" s="15" t="str">
        <f>IF(C116,SUM(K116:O116),"")</f>
        <v/>
      </c>
      <c r="Q116" s="1"/>
      <c r="R116" s="1"/>
      <c r="S116" s="1"/>
      <c r="T116" s="32" t="str">
        <f t="shared" si="35"/>
        <v/>
      </c>
      <c r="U116" s="1"/>
      <c r="V116" s="1"/>
    </row>
    <row r="117" spans="1:22" ht="15" thickBot="1">
      <c r="A117" s="48" t="s">
        <v>46</v>
      </c>
      <c r="B117" s="49" t="s">
        <v>33</v>
      </c>
      <c r="C117" s="50"/>
      <c r="D117" s="25" t="str">
        <f>IF(C117,C117+Q103,"")</f>
        <v/>
      </c>
      <c r="E117" s="73" t="str">
        <f t="shared" si="34"/>
        <v/>
      </c>
      <c r="F117" s="70" t="str">
        <f>IF(AND(C117&lt;&gt;"",N101&lt;&gt;""),(M103/F103*E101+M104/F104*D101)/(C117+U103),"")</f>
        <v/>
      </c>
      <c r="G117" s="25" t="str">
        <f>IF(C117,IF(AND(F103&lt;&gt;0,C101&lt;&gt;0),M104,M104/F104*D101)/(C117+U104),"")</f>
        <v/>
      </c>
      <c r="H117" s="25" t="str">
        <f>IF(C117,(M105)/(C117+U105),"")</f>
        <v/>
      </c>
      <c r="I117" s="25" t="str">
        <f>IF(C117,(M106)/(C117+U106),"")</f>
        <v/>
      </c>
      <c r="J117" s="25" t="str">
        <f>IF(C117,(M107)/(C117+U107),"")</f>
        <v/>
      </c>
      <c r="K117" s="70" t="str">
        <f>IF(AND(C117&lt;&gt;"",N101&lt;&gt;""),9.8*N101*LN((C117+U103)/(C117+V103)),"")</f>
        <v/>
      </c>
      <c r="L117" s="25" t="str">
        <f>IF(C117,9.8*F104*LN((C117+U104)/(C117+V104)),"")</f>
        <v/>
      </c>
      <c r="M117" s="25" t="str">
        <f>IF(C117,9.8*F105*LN((C117+U105)/(C117+V105)),"")</f>
        <v/>
      </c>
      <c r="N117" s="25" t="str">
        <f>IF(C117,9.8*F106*LN((C117+U106)/(C117+V106)),"")</f>
        <v/>
      </c>
      <c r="O117" s="25" t="str">
        <f>IF(C117,9.8*F107*LN((C117+U107)/(C117+V107)),"")</f>
        <v/>
      </c>
      <c r="P117" s="71" t="str">
        <f>IF(C117,SUM(K117:O117),"")</f>
        <v/>
      </c>
      <c r="Q117" s="25"/>
      <c r="R117" s="25"/>
      <c r="S117" s="25"/>
      <c r="T117" s="51" t="str">
        <f t="shared" si="35"/>
        <v/>
      </c>
      <c r="U117" s="25"/>
      <c r="V117" s="25"/>
    </row>
    <row r="118" spans="1:22" ht="15" thickBot="1"/>
    <row r="119" spans="1:22" ht="15" thickBot="1">
      <c r="A119" s="52" t="s">
        <v>331</v>
      </c>
      <c r="B119" s="52"/>
      <c r="C119" s="29" t="s">
        <v>0</v>
      </c>
      <c r="D119" s="90" t="s">
        <v>41</v>
      </c>
      <c r="E119" s="90"/>
      <c r="F119" s="43"/>
      <c r="G119" s="43"/>
      <c r="H119" s="43"/>
      <c r="I119" s="86" t="s">
        <v>42</v>
      </c>
      <c r="J119" s="86"/>
      <c r="K119" s="86"/>
      <c r="L119" s="54" t="s">
        <v>70</v>
      </c>
      <c r="M119" s="86" t="s">
        <v>71</v>
      </c>
      <c r="N119" s="86"/>
      <c r="O119" s="87"/>
      <c r="P119" s="29" t="s">
        <v>49</v>
      </c>
      <c r="Q119" s="34" t="str">
        <f>IF(OR(P123&lt;P122,T123&lt;T122),"芯级燃烧时间不得小于助推燃烧时间！","")</f>
        <v/>
      </c>
      <c r="R119" s="44"/>
      <c r="S119" s="45"/>
      <c r="T119" s="29"/>
      <c r="U119" s="46" t="s">
        <v>45</v>
      </c>
      <c r="V119" s="46" t="s">
        <v>48</v>
      </c>
    </row>
    <row r="120" spans="1:22" ht="15" thickBot="1">
      <c r="A120" s="40" t="s">
        <v>330</v>
      </c>
      <c r="B120" s="39"/>
      <c r="C120" s="2">
        <v>2</v>
      </c>
      <c r="D120" s="2">
        <v>285</v>
      </c>
      <c r="E120" s="2">
        <v>285</v>
      </c>
      <c r="F120" s="41"/>
      <c r="G120" s="42"/>
      <c r="H120" s="42"/>
      <c r="I120" s="24" t="s">
        <v>354</v>
      </c>
      <c r="J120" s="24"/>
      <c r="K120" s="24"/>
      <c r="L120" s="55">
        <f>IFERROR(IF(AND(F122&lt;&gt;0,C120&lt;&gt;0),M122/F122*E120+M123/F123*D120,M123/F123*D120),0)</f>
        <v>2335.8048387096774</v>
      </c>
      <c r="M120" s="53" t="s">
        <v>45</v>
      </c>
      <c r="N120" s="17">
        <f>IF(AND(F122&lt;&gt;0,C120&lt;&gt;0),(M122+M123)/(M122/F122+M123/F123),"")</f>
        <v>310</v>
      </c>
      <c r="O120" s="56" t="s">
        <v>46</v>
      </c>
      <c r="P120" s="89" t="s">
        <v>17</v>
      </c>
      <c r="Q120" s="89"/>
      <c r="R120" s="91"/>
      <c r="S120" s="88" t="s">
        <v>18</v>
      </c>
      <c r="T120" s="89"/>
      <c r="U120" s="89"/>
      <c r="V120" s="89"/>
    </row>
    <row r="121" spans="1:22" ht="15" thickBot="1">
      <c r="A121" s="33" t="s">
        <v>45</v>
      </c>
      <c r="B121" s="26" t="s">
        <v>39</v>
      </c>
      <c r="C121" s="1" t="s">
        <v>60</v>
      </c>
      <c r="D121" s="1" t="s">
        <v>61</v>
      </c>
      <c r="E121" s="1" t="s">
        <v>62</v>
      </c>
      <c r="F121" s="1" t="s">
        <v>63</v>
      </c>
      <c r="G121" s="1" t="s">
        <v>64</v>
      </c>
      <c r="H121" s="1" t="s">
        <v>65</v>
      </c>
      <c r="I121" s="60" t="s">
        <v>345</v>
      </c>
      <c r="J121" s="24"/>
      <c r="K121" s="24"/>
      <c r="L121" s="11" t="s">
        <v>6</v>
      </c>
      <c r="M121" s="12" t="s">
        <v>69</v>
      </c>
      <c r="N121" s="12" t="s">
        <v>15</v>
      </c>
      <c r="O121" s="13" t="s">
        <v>14</v>
      </c>
      <c r="P121" s="14" t="s">
        <v>12</v>
      </c>
      <c r="Q121" s="1" t="s">
        <v>10</v>
      </c>
      <c r="R121" s="15" t="s">
        <v>11</v>
      </c>
      <c r="S121" s="14" t="s">
        <v>13</v>
      </c>
      <c r="T121" s="1" t="s">
        <v>16</v>
      </c>
      <c r="U121" s="1" t="s">
        <v>10</v>
      </c>
      <c r="V121" s="1" t="s">
        <v>11</v>
      </c>
    </row>
    <row r="122" spans="1:22">
      <c r="A122" s="40"/>
      <c r="B122" s="27" t="s">
        <v>3</v>
      </c>
      <c r="C122" s="3">
        <v>454</v>
      </c>
      <c r="D122" s="4">
        <v>16</v>
      </c>
      <c r="E122" s="4">
        <v>846.9</v>
      </c>
      <c r="F122" s="4">
        <v>310</v>
      </c>
      <c r="G122" s="19"/>
      <c r="H122" s="20">
        <v>0.11</v>
      </c>
      <c r="I122" s="24" t="s">
        <v>389</v>
      </c>
      <c r="J122" s="24"/>
      <c r="K122" s="24"/>
      <c r="L122" s="14">
        <f>C122*C120</f>
        <v>908</v>
      </c>
      <c r="M122" s="1">
        <f>E122*C120</f>
        <v>1693.8</v>
      </c>
      <c r="N122" s="1">
        <f>IF(D122,L122/D122,0)</f>
        <v>56.75</v>
      </c>
      <c r="O122" s="15">
        <f>L122-N122</f>
        <v>851.25</v>
      </c>
      <c r="P122" s="14">
        <f>IF(AND(F122&lt;&gt;0,C120&lt;&gt;0),O122/M122*F122/IF(G122,G122,1),0)</f>
        <v>155.79613885936948</v>
      </c>
      <c r="Q122" s="1">
        <f>SUM(L122:L126)</f>
        <v>1702</v>
      </c>
      <c r="R122" s="15">
        <f>N122+Q123</f>
        <v>510.25</v>
      </c>
      <c r="S122" s="14">
        <f>N122+H122*O122</f>
        <v>150.38749999999999</v>
      </c>
      <c r="T122" s="1">
        <f>IF(AND(F122&lt;&gt;0,C120&lt;&gt;0),(1-H122)*O122/M122*F122/IF(G122,G122,1),0)</f>
        <v>138.65856358483882</v>
      </c>
      <c r="U122" s="1">
        <f>SUM(L122:L126)</f>
        <v>1702</v>
      </c>
      <c r="V122" s="1">
        <f>S122+U123</f>
        <v>641.34249999999997</v>
      </c>
    </row>
    <row r="123" spans="1:22">
      <c r="A123" s="47"/>
      <c r="B123" s="27">
        <v>1</v>
      </c>
      <c r="C123" s="5">
        <v>494</v>
      </c>
      <c r="D123" s="1">
        <v>16</v>
      </c>
      <c r="E123" s="1">
        <v>846.9</v>
      </c>
      <c r="F123" s="1">
        <v>310</v>
      </c>
      <c r="G123" s="5">
        <v>0.8</v>
      </c>
      <c r="H123" s="21">
        <v>0.15</v>
      </c>
      <c r="I123" s="30" t="s">
        <v>390</v>
      </c>
      <c r="J123" s="30"/>
      <c r="K123" s="30"/>
      <c r="L123" s="14">
        <f>C123</f>
        <v>494</v>
      </c>
      <c r="M123" s="1">
        <f>E123</f>
        <v>846.9</v>
      </c>
      <c r="N123" s="1">
        <f>IF(D123,L123/D123,0)</f>
        <v>30.875</v>
      </c>
      <c r="O123" s="15">
        <f>L123-N123</f>
        <v>463.125</v>
      </c>
      <c r="P123" s="14">
        <f t="shared" ref="P123:P126" si="36">IF(F123,O123/M123*F123/IF(G123,G123,1),0)</f>
        <v>211.90333864682958</v>
      </c>
      <c r="Q123" s="1">
        <f>IF(F123,SUM(L123:L126)-P122*M123/F123*IF(G123,G123,1),0)</f>
        <v>453.5</v>
      </c>
      <c r="R123" s="15">
        <f>N123+Q124</f>
        <v>330.875</v>
      </c>
      <c r="S123" s="14">
        <f>N123+H123*O123</f>
        <v>100.34375</v>
      </c>
      <c r="T123" s="1">
        <f>IF(F123,(1-H123)*O123/M123*F123/IF(G123,G123,1),0)</f>
        <v>180.11783784980517</v>
      </c>
      <c r="U123" s="1">
        <f>IF(F123,SUM(L123:L126)-T122*M123/F123*IF(G123,G123,1),0)</f>
        <v>490.95499999999998</v>
      </c>
      <c r="V123" s="1">
        <f>S123+U124</f>
        <v>400.34375</v>
      </c>
    </row>
    <row r="124" spans="1:22">
      <c r="A124" s="47"/>
      <c r="B124" s="27">
        <v>2</v>
      </c>
      <c r="C124" s="5">
        <v>300</v>
      </c>
      <c r="D124" s="1">
        <v>20</v>
      </c>
      <c r="E124" s="1">
        <v>261.39999999999998</v>
      </c>
      <c r="F124" s="1">
        <v>335</v>
      </c>
      <c r="G124" s="5"/>
      <c r="H124" s="21"/>
      <c r="I124" s="30" t="s">
        <v>391</v>
      </c>
      <c r="J124" s="30"/>
      <c r="K124" s="30"/>
      <c r="L124" s="14">
        <f>C124</f>
        <v>300</v>
      </c>
      <c r="M124" s="1">
        <f>E124</f>
        <v>261.39999999999998</v>
      </c>
      <c r="N124" s="1">
        <f>IF(D124,L124/D124,0)</f>
        <v>15</v>
      </c>
      <c r="O124" s="15">
        <f>L124-N124</f>
        <v>285</v>
      </c>
      <c r="P124" s="14">
        <f t="shared" si="36"/>
        <v>365.24483550114769</v>
      </c>
      <c r="Q124" s="1">
        <f>SUM(L124:L126)</f>
        <v>300</v>
      </c>
      <c r="R124" s="15">
        <f>N124+Q125</f>
        <v>15</v>
      </c>
      <c r="S124" s="14">
        <f>N124+H124*O124</f>
        <v>15</v>
      </c>
      <c r="T124" s="1">
        <f t="shared" ref="T124:T126" si="37">IF(F124,(1-H124)*O124/M124*F124/IF(G124,G124,1),0)</f>
        <v>365.24483550114769</v>
      </c>
      <c r="U124" s="1">
        <f>SUM(L124:L126)</f>
        <v>300</v>
      </c>
      <c r="V124" s="1">
        <f>S124+U125</f>
        <v>15</v>
      </c>
    </row>
    <row r="125" spans="1:22">
      <c r="A125" s="33" t="s">
        <v>45</v>
      </c>
      <c r="B125" s="27">
        <v>3</v>
      </c>
      <c r="C125" s="5"/>
      <c r="D125" s="1"/>
      <c r="E125" s="1"/>
      <c r="F125" s="1"/>
      <c r="G125" s="5"/>
      <c r="H125" s="21"/>
      <c r="I125" s="30"/>
      <c r="J125" s="30"/>
      <c r="K125" s="30"/>
      <c r="L125" s="14">
        <f>C125</f>
        <v>0</v>
      </c>
      <c r="M125" s="1">
        <f>E125</f>
        <v>0</v>
      </c>
      <c r="N125" s="1">
        <f>IF(D125,L125/D125,0)</f>
        <v>0</v>
      </c>
      <c r="O125" s="15">
        <f>L125-N125</f>
        <v>0</v>
      </c>
      <c r="P125" s="14">
        <f t="shared" si="36"/>
        <v>0</v>
      </c>
      <c r="Q125" s="1">
        <f>SUM(L125:L126)</f>
        <v>0</v>
      </c>
      <c r="R125" s="15">
        <f>N125+Q126</f>
        <v>0</v>
      </c>
      <c r="S125" s="14">
        <f>N125+H125*O125</f>
        <v>0</v>
      </c>
      <c r="T125" s="1">
        <f t="shared" si="37"/>
        <v>0</v>
      </c>
      <c r="U125" s="1">
        <f>SUM(L125:L126)</f>
        <v>0</v>
      </c>
      <c r="V125" s="1">
        <f>S125+U126</f>
        <v>0</v>
      </c>
    </row>
    <row r="126" spans="1:22" ht="15" thickBot="1">
      <c r="A126" s="40"/>
      <c r="B126" s="28">
        <v>4</v>
      </c>
      <c r="C126" s="6"/>
      <c r="D126" s="7"/>
      <c r="E126" s="7"/>
      <c r="F126" s="7"/>
      <c r="G126" s="22"/>
      <c r="H126" s="23"/>
      <c r="I126" s="24"/>
      <c r="J126" s="24"/>
      <c r="K126" s="24"/>
      <c r="L126" s="16">
        <f>C126</f>
        <v>0</v>
      </c>
      <c r="M126" s="17">
        <f>E126</f>
        <v>0</v>
      </c>
      <c r="N126" s="17">
        <f>IF(D126,L126/D126,0)</f>
        <v>0</v>
      </c>
      <c r="O126" s="18">
        <f>L126-N126</f>
        <v>0</v>
      </c>
      <c r="P126" s="14">
        <f t="shared" si="36"/>
        <v>0</v>
      </c>
      <c r="Q126" s="17">
        <f>SUM(L126:L126)</f>
        <v>0</v>
      </c>
      <c r="R126" s="18">
        <f>N126</f>
        <v>0</v>
      </c>
      <c r="S126" s="16">
        <f>N126+H126*O126</f>
        <v>0</v>
      </c>
      <c r="T126" s="17">
        <f t="shared" si="37"/>
        <v>0</v>
      </c>
      <c r="U126" s="17">
        <f>SUM(L126:L126)</f>
        <v>0</v>
      </c>
      <c r="V126" s="17">
        <f>S126</f>
        <v>0</v>
      </c>
    </row>
    <row r="127" spans="1:22" ht="15" thickBot="1">
      <c r="A127" s="47"/>
      <c r="B127" s="26" t="s">
        <v>38</v>
      </c>
      <c r="C127" s="1" t="s">
        <v>4</v>
      </c>
      <c r="D127" s="1" t="s">
        <v>28</v>
      </c>
      <c r="E127" s="1" t="s">
        <v>265</v>
      </c>
      <c r="F127" s="69" t="s">
        <v>40</v>
      </c>
      <c r="G127" s="1" t="s">
        <v>29</v>
      </c>
      <c r="H127" s="1" t="s">
        <v>23</v>
      </c>
      <c r="I127" s="12" t="s">
        <v>24</v>
      </c>
      <c r="J127" s="12" t="s">
        <v>25</v>
      </c>
      <c r="K127" s="11" t="s">
        <v>19</v>
      </c>
      <c r="L127" s="12" t="s">
        <v>26</v>
      </c>
      <c r="M127" s="12" t="s">
        <v>20</v>
      </c>
      <c r="N127" s="12" t="s">
        <v>21</v>
      </c>
      <c r="O127" s="12" t="s">
        <v>22</v>
      </c>
      <c r="P127" s="13" t="s">
        <v>27</v>
      </c>
      <c r="Q127" s="85" t="s">
        <v>42</v>
      </c>
      <c r="R127" s="85"/>
      <c r="S127" s="85"/>
      <c r="T127" s="31" t="s">
        <v>50</v>
      </c>
      <c r="U127" s="35" t="s">
        <v>47</v>
      </c>
      <c r="V127" s="36" t="s">
        <v>264</v>
      </c>
    </row>
    <row r="128" spans="1:22">
      <c r="A128" s="47"/>
      <c r="B128" s="27" t="s">
        <v>30</v>
      </c>
      <c r="C128" s="8">
        <v>63</v>
      </c>
      <c r="D128" s="1">
        <f>IF(C128,C128+Q122,"")</f>
        <v>1765</v>
      </c>
      <c r="E128" s="72">
        <f>IF(C128,C128/D128,"")</f>
        <v>3.5694050991501414E-2</v>
      </c>
      <c r="F128" s="14">
        <f>IF(AND(C128&lt;&gt;"",N120&lt;&gt;""),(M122/F122*E120+M123/F123*D120)/(C128+Q122),"")</f>
        <v>1.3234021749063327</v>
      </c>
      <c r="G128" s="1">
        <f>IF(C128,IF(AND(F122&lt;&gt;0,C120&lt;&gt;0),M123,M123/F123*D120)/(C128+Q123),"")</f>
        <v>1.6396902226524686</v>
      </c>
      <c r="H128" s="1">
        <f>IF(C128,(M124)/(C128+Q124),"")</f>
        <v>0.72011019283746547</v>
      </c>
      <c r="I128" s="1">
        <f>IF(C128,(M125)/(C128+Q125),"")</f>
        <v>0</v>
      </c>
      <c r="J128" s="1">
        <f>IF(C128,(M126)/(C128+Q126),"")</f>
        <v>0</v>
      </c>
      <c r="K128" s="14">
        <f>IF(AND(C128&lt;&gt;"",N120&lt;&gt;""),9.8*N120*LN((C128+Q122)/(C128+R122)),"")</f>
        <v>3416.4863366980667</v>
      </c>
      <c r="L128" s="1">
        <f>IF(C128,9.8*F123*LN((C128+Q123)/(C128+R123)),"")</f>
        <v>823.42464960908922</v>
      </c>
      <c r="M128" s="1">
        <f>IF(C128,9.8*F124*LN((C128+Q124)/(C128+R124)),"")</f>
        <v>5048.2494268695764</v>
      </c>
      <c r="N128" s="1">
        <f>IF(C128,9.8*F125*LN((C128+Q125)/(C128+R125)),"")</f>
        <v>0</v>
      </c>
      <c r="O128" s="1">
        <f>IF(C128,9.8*F126*LN((C128+Q126)/(C128+R126)),"")</f>
        <v>0</v>
      </c>
      <c r="P128" s="15">
        <f>IF(C128,SUM(K128:O128),"")</f>
        <v>9288.1604131767326</v>
      </c>
      <c r="Q128" s="1" t="s">
        <v>353</v>
      </c>
      <c r="R128" s="1"/>
      <c r="S128" s="1"/>
      <c r="T128" s="32" t="str">
        <f>IF(OR(F128&lt;1,AND(F128="",G128&lt;1)),"起飞推重比不得小于0，空天飞机除外","")</f>
        <v/>
      </c>
      <c r="U128" s="1"/>
      <c r="V128" s="1"/>
    </row>
    <row r="129" spans="1:22">
      <c r="A129" s="33" t="s">
        <v>47</v>
      </c>
      <c r="B129" s="27" t="s">
        <v>31</v>
      </c>
      <c r="C129" s="9">
        <v>20.5</v>
      </c>
      <c r="D129" s="1">
        <f>IF(C129,C129+Q122,"")</f>
        <v>1722.5</v>
      </c>
      <c r="E129" s="72">
        <f t="shared" ref="E129:E131" si="38">IF(C129,C129/D129,"")</f>
        <v>1.1901306240928883E-2</v>
      </c>
      <c r="F129" s="14">
        <f>IF(AND(C129&lt;&gt;"",N120&lt;&gt;""),(M122/F122*E120+M123/F123*D120)/(C129+Q122),"")</f>
        <v>1.3560550587574325</v>
      </c>
      <c r="G129" s="1">
        <f>IF(C129,IF(AND(F122&lt;&gt;0,C120&lt;&gt;0),M123,M123/F123*D120)/(C129+Q123),"")</f>
        <v>1.7867088607594936</v>
      </c>
      <c r="H129" s="1">
        <f>IF(C129,(M124)/(C129+Q124),"")</f>
        <v>0.81560062402496092</v>
      </c>
      <c r="I129" s="1">
        <f>IF(C129,(M125)/(C129+Q125),"")</f>
        <v>0</v>
      </c>
      <c r="J129" s="1">
        <f>IF(C129,(M126)/(C129+Q126),"")</f>
        <v>0</v>
      </c>
      <c r="K129" s="14">
        <f>IF(AND(C129&lt;&gt;"",N120&lt;&gt;""),9.8*N120*LN((C129+Q122)/(C129+R122)),"")</f>
        <v>3576.4578612009132</v>
      </c>
      <c r="L129" s="1">
        <f>IF(C129,9.8*F123*LN((C129+Q123)/(C129+R123)),"")</f>
        <v>909.43530251894015</v>
      </c>
      <c r="M129" s="1">
        <f>IF(C129,9.8*F124*LN((C129+Q124)/(C129+R124)),"")</f>
        <v>7223.7476707439228</v>
      </c>
      <c r="N129" s="1">
        <f>IF(C129,9.8*F125*LN((C129+Q125)/(C129+R125)),"")</f>
        <v>0</v>
      </c>
      <c r="O129" s="1">
        <f>IF(C129,9.8*F126*LN((C129+Q126)/(C129+R126)),"")</f>
        <v>0</v>
      </c>
      <c r="P129" s="15">
        <f>IF(C129,SUM(K129:O129),"")</f>
        <v>11709.640834463775</v>
      </c>
      <c r="Q129" s="1"/>
      <c r="R129" s="1"/>
      <c r="S129" s="1"/>
      <c r="T129" s="32" t="str">
        <f t="shared" ref="T129:T131" si="39">IF(OR(F129&lt;1,AND(F129="",G129&lt;1)),"起飞推重比不得小于0，空天飞机除外","")</f>
        <v/>
      </c>
      <c r="U129" s="1"/>
      <c r="V129" s="1"/>
    </row>
    <row r="130" spans="1:22">
      <c r="A130" s="40"/>
      <c r="B130" s="27" t="s">
        <v>36</v>
      </c>
      <c r="C130" s="9"/>
      <c r="D130" s="1" t="str">
        <f>IF(C130,C130+Q122,"")</f>
        <v/>
      </c>
      <c r="E130" s="72" t="str">
        <f t="shared" si="38"/>
        <v/>
      </c>
      <c r="F130" s="14" t="str">
        <f>IF(AND(C130&lt;&gt;"",N120&lt;&gt;""),(M122/F122*E120+M123/F123*D120)/(C130+Q122),"")</f>
        <v/>
      </c>
      <c r="G130" s="1" t="str">
        <f>IF(C130,IF(AND(F122&lt;&gt;0,C120&lt;&gt;0),M123,M123/F123*D120)/(C130+Q123),"")</f>
        <v/>
      </c>
      <c r="H130" s="1" t="str">
        <f>IF(C130,(M124)/(C130+Q124),"")</f>
        <v/>
      </c>
      <c r="I130" s="1" t="str">
        <f>IF(C130,(M125)/(C130+Q125),"")</f>
        <v/>
      </c>
      <c r="J130" s="1" t="str">
        <f>IF(C130,(M126)/(C130+Q126),"")</f>
        <v/>
      </c>
      <c r="K130" s="14" t="str">
        <f>IF(AND(C130&lt;&gt;"",N120&lt;&gt;""),9.8*N120*LN((C130+Q122)/(C130+R122)),"")</f>
        <v/>
      </c>
      <c r="L130" s="1" t="str">
        <f>IF(C130,9.8*F123*LN((C130+Q123)/(C130+R123)),"")</f>
        <v/>
      </c>
      <c r="M130" s="1" t="str">
        <f>IF(C130,9.8*F124*LN((C130+Q124)/(C130+R124)),"")</f>
        <v/>
      </c>
      <c r="N130" s="1" t="str">
        <f>IF(C130,9.8*F125*LN((C130+Q125)/(C130+R125)),"")</f>
        <v/>
      </c>
      <c r="O130" s="1" t="str">
        <f>IF(C130,9.8*F126*LN((C130+Q126)/(C130+R126)),"")</f>
        <v/>
      </c>
      <c r="P130" s="15" t="str">
        <f>IF(C130,SUM(K130:O130),"")</f>
        <v/>
      </c>
      <c r="Q130" s="1"/>
      <c r="R130" s="1"/>
      <c r="S130" s="1"/>
      <c r="T130" s="32" t="str">
        <f t="shared" si="39"/>
        <v/>
      </c>
      <c r="U130" s="1"/>
      <c r="V130" s="1"/>
    </row>
    <row r="131" spans="1:22" ht="15" thickBot="1">
      <c r="A131" s="47"/>
      <c r="B131" s="28" t="s">
        <v>5</v>
      </c>
      <c r="C131" s="10"/>
      <c r="D131" s="1" t="str">
        <f>IF(C131,C131+Q122,"")</f>
        <v/>
      </c>
      <c r="E131" s="72" t="str">
        <f t="shared" si="38"/>
        <v/>
      </c>
      <c r="F131" s="14" t="str">
        <f>IF(AND(C131&lt;&gt;"",N120&lt;&gt;""),(M122/F122*E120+M123/F123*D120)/(C131+Q122),"")</f>
        <v/>
      </c>
      <c r="G131" s="1" t="str">
        <f>IF(C131,IF(AND(F122&lt;&gt;0,C120&lt;&gt;0),M123,M123/F123*D120)/(C131+Q123),"")</f>
        <v/>
      </c>
      <c r="H131" s="1" t="str">
        <f>IF(C131,(M124)/(C131+Q124),"")</f>
        <v/>
      </c>
      <c r="I131" s="1" t="str">
        <f>IF(C131,(M125)/(C131+Q125),"")</f>
        <v/>
      </c>
      <c r="J131" s="1" t="str">
        <f>IF(C131,(M126)/(C131+Q126),"")</f>
        <v/>
      </c>
      <c r="K131" s="14" t="str">
        <f>IF(AND(C131&lt;&gt;"",N120&lt;&gt;""),9.8*N120*LN((C131+Q122)/(C131+R122)),"")</f>
        <v/>
      </c>
      <c r="L131" s="1" t="str">
        <f>IF(C131,9.8*F123*LN((C131+Q123)/(C131+R123)),"")</f>
        <v/>
      </c>
      <c r="M131" s="1" t="str">
        <f>IF(C131,9.8*F124*LN((C131+Q124)/(C131+R124)),"")</f>
        <v/>
      </c>
      <c r="N131" s="1" t="str">
        <f>IF(C131,9.8*F125*LN((C131+Q125)/(C131+R125)),"")</f>
        <v/>
      </c>
      <c r="O131" s="1" t="str">
        <f>IF(C131,9.8*F126*LN((C131+Q126)/(C131+R126)),"")</f>
        <v/>
      </c>
      <c r="P131" s="15" t="str">
        <f>IF(C131,SUM(K131:O131),"")</f>
        <v/>
      </c>
      <c r="Q131" s="17"/>
      <c r="R131" s="17"/>
      <c r="S131" s="17"/>
      <c r="T131" s="32" t="str">
        <f t="shared" si="39"/>
        <v/>
      </c>
      <c r="U131" s="1"/>
      <c r="V131" s="1"/>
    </row>
    <row r="132" spans="1:22" ht="15" thickBot="1">
      <c r="A132" s="33" t="s">
        <v>45</v>
      </c>
      <c r="B132" s="26" t="s">
        <v>37</v>
      </c>
      <c r="C132" s="1" t="s">
        <v>54</v>
      </c>
      <c r="D132" s="12" t="s">
        <v>28</v>
      </c>
      <c r="E132" s="12" t="s">
        <v>266</v>
      </c>
      <c r="F132" s="11" t="s">
        <v>40</v>
      </c>
      <c r="G132" s="12" t="s">
        <v>29</v>
      </c>
      <c r="H132" s="12" t="s">
        <v>23</v>
      </c>
      <c r="I132" s="12" t="s">
        <v>24</v>
      </c>
      <c r="J132" s="12" t="s">
        <v>25</v>
      </c>
      <c r="K132" s="11" t="s">
        <v>19</v>
      </c>
      <c r="L132" s="12" t="s">
        <v>26</v>
      </c>
      <c r="M132" s="12" t="s">
        <v>20</v>
      </c>
      <c r="N132" s="12" t="s">
        <v>21</v>
      </c>
      <c r="O132" s="12" t="s">
        <v>22</v>
      </c>
      <c r="P132" s="13" t="s">
        <v>27</v>
      </c>
      <c r="Q132" s="85" t="s">
        <v>42</v>
      </c>
      <c r="R132" s="85"/>
      <c r="S132" s="85"/>
      <c r="T132" s="12" t="s">
        <v>51</v>
      </c>
      <c r="U132" s="37" t="s">
        <v>45</v>
      </c>
      <c r="V132" s="38" t="s">
        <v>48</v>
      </c>
    </row>
    <row r="133" spans="1:22">
      <c r="A133" s="40"/>
      <c r="B133" s="27" t="s">
        <v>30</v>
      </c>
      <c r="C133" s="8">
        <v>32</v>
      </c>
      <c r="D133" s="1">
        <f>IF(C133,C133+Q122,"")</f>
        <v>1734</v>
      </c>
      <c r="E133" s="72">
        <f>IF(C133,C133/D133,"")</f>
        <v>1.845444059976932E-2</v>
      </c>
      <c r="F133" s="14">
        <f>IF(AND(C133&lt;&gt;"",N120&lt;&gt;""),(M122/F122*E120+M123/F123*D120)/(C133+U122),"")</f>
        <v>1.3470616140194218</v>
      </c>
      <c r="G133" s="1">
        <f>IF(C133,IF(AND(F122&lt;&gt;0,C120&lt;&gt;0),M123,M123/F123*D120)/(C133+U123),"")</f>
        <v>1.6194510043885231</v>
      </c>
      <c r="H133" s="1">
        <f>IF(C133,(M124)/(C133+U124),"")</f>
        <v>0.78734939759036138</v>
      </c>
      <c r="I133" s="1">
        <f>IF(C133,(M125)/(C133+U125),"")</f>
        <v>0</v>
      </c>
      <c r="J133" s="1">
        <f>IF(C133,(M126)/(C133+U126),"")</f>
        <v>0</v>
      </c>
      <c r="K133" s="14">
        <f>IF(AND(C133&lt;&gt;"",N120&lt;&gt;""),9.8*N120*LN((C133+U122)/(C133+V122)),"")</f>
        <v>2873.7415431239801</v>
      </c>
      <c r="L133" s="1">
        <f>IF(C133,9.8*F123*LN((C133+U123)/(C133+V123)),"")</f>
        <v>578.05371492766551</v>
      </c>
      <c r="M133" s="1">
        <f>IF(C133,9.8*F124*LN((C133+U124)/(C133+V124)),"")</f>
        <v>6418.2235265387108</v>
      </c>
      <c r="N133" s="1">
        <f>IF(C133,9.8*F125*LN((C133+U125)/(C133+V125)),"")</f>
        <v>0</v>
      </c>
      <c r="O133" s="1">
        <f>IF(C133,9.8*F126*LN((C133+U126)/(C133+V126)),"")</f>
        <v>0</v>
      </c>
      <c r="P133" s="15">
        <f>IF(C133,SUM(K133:O133),"")</f>
        <v>9870.0187845903565</v>
      </c>
      <c r="Q133" s="1" t="s">
        <v>544</v>
      </c>
      <c r="R133" s="1"/>
      <c r="S133" s="1"/>
      <c r="T133" s="32" t="str">
        <f>IF(OR(F133&lt;1,AND(F133="",G133&lt;1)),"起飞推重比不得小于0，空天飞机除外","")</f>
        <v/>
      </c>
      <c r="U133" s="1"/>
      <c r="V133" s="1"/>
    </row>
    <row r="134" spans="1:22">
      <c r="A134" s="47"/>
      <c r="B134" s="27" t="s">
        <v>31</v>
      </c>
      <c r="C134" s="9">
        <v>11</v>
      </c>
      <c r="D134" s="1">
        <f>IF(C134,C134+Q122,"")</f>
        <v>1713</v>
      </c>
      <c r="E134" s="72">
        <f t="shared" ref="E134:E136" si="40">IF(C134,C134/D134,"")</f>
        <v>6.4214827787507298E-3</v>
      </c>
      <c r="F134" s="14">
        <f>IF(AND(C134&lt;&gt;"",N120&lt;&gt;""),(M122/F122*E120+M123/F123*D120)/(C134+U122),"")</f>
        <v>1.3635755042088018</v>
      </c>
      <c r="G134" s="1">
        <f>IF(C134,IF(AND(F122&lt;&gt;0,C120&lt;&gt;0),M123,M123/F123*D120)/(C134+U123),"")</f>
        <v>1.6872030361287367</v>
      </c>
      <c r="H134" s="1">
        <f>IF(C134,(M124)/(C134+U124),"")</f>
        <v>0.84051446945337616</v>
      </c>
      <c r="I134" s="1">
        <f>IF(C134,(M125)/(C134+U125),"")</f>
        <v>0</v>
      </c>
      <c r="J134" s="1">
        <f>IF(C134,(M126)/(C134+U126),"")</f>
        <v>0</v>
      </c>
      <c r="K134" s="14">
        <f>IF(AND(C134&lt;&gt;"",N120&lt;&gt;""),9.8*N120*LN((C134+U122)/(C134+V122)),"")</f>
        <v>2932.9817098906956</v>
      </c>
      <c r="L134" s="1">
        <f>IF(C134,9.8*F123*LN((C134+U123)/(C134+V123)),"")</f>
        <v>604.80879075657731</v>
      </c>
      <c r="M134" s="1">
        <f>IF(C134,9.8*F124*LN((C134+U124)/(C134+V124)),"")</f>
        <v>8147.4091963599021</v>
      </c>
      <c r="N134" s="1">
        <f>IF(C134,9.8*F125*LN((C134+U125)/(C134+V125)),"")</f>
        <v>0</v>
      </c>
      <c r="O134" s="1">
        <f>IF(C134,9.8*F126*LN((C134+U126)/(C134+V126)),"")</f>
        <v>0</v>
      </c>
      <c r="P134" s="15">
        <f>IF(C134,SUM(K134:O134),"")</f>
        <v>11685.199697007174</v>
      </c>
      <c r="Q134" s="1"/>
      <c r="R134" s="1"/>
      <c r="S134" s="1"/>
      <c r="T134" s="32" t="str">
        <f t="shared" ref="T134:T136" si="41">IF(OR(F134&lt;1,AND(F134="",G134&lt;1)),"起飞推重比不得小于0，空天飞机除外","")</f>
        <v/>
      </c>
      <c r="U134" s="1"/>
      <c r="V134" s="1"/>
    </row>
    <row r="135" spans="1:22">
      <c r="A135" s="47"/>
      <c r="B135" s="27" t="s">
        <v>32</v>
      </c>
      <c r="C135" s="9"/>
      <c r="D135" s="1" t="str">
        <f>IF(C135,C135+Q122,"")</f>
        <v/>
      </c>
      <c r="E135" s="72" t="str">
        <f t="shared" si="40"/>
        <v/>
      </c>
      <c r="F135" s="14" t="str">
        <f>IF(AND(C135&lt;&gt;"",N120&lt;&gt;""),(M122/F122*E120+M123/F123*D120)/(C135+U122),"")</f>
        <v/>
      </c>
      <c r="G135" s="1" t="str">
        <f>IF(C135,IF(AND(F122&lt;&gt;0,C120&lt;&gt;0),M123,M123/F123*D120)/(C135+U123),"")</f>
        <v/>
      </c>
      <c r="H135" s="1" t="str">
        <f>IF(C135,(M124)/(C135+U124),"")</f>
        <v/>
      </c>
      <c r="I135" s="1" t="str">
        <f>IF(C135,(M125)/(C135+U125),"")</f>
        <v/>
      </c>
      <c r="J135" s="1" t="str">
        <f>IF(C135,(M126)/(C135+U126),"")</f>
        <v/>
      </c>
      <c r="K135" s="14" t="str">
        <f>IF(AND(C135&lt;&gt;"",N120&lt;&gt;""),9.8*N120*LN((C135+U122)/(C135+V122)),"")</f>
        <v/>
      </c>
      <c r="L135" s="1" t="str">
        <f>IF(C135,9.8*F123*LN((C135+U123)/(C135+V123)),"")</f>
        <v/>
      </c>
      <c r="M135" s="1" t="str">
        <f>IF(C135,9.8*F124*LN((C135+U124)/(C135+V124)),"")</f>
        <v/>
      </c>
      <c r="N135" s="1" t="str">
        <f>IF(C135,9.8*F125*LN((C135+U125)/(C135+V125)),"")</f>
        <v/>
      </c>
      <c r="O135" s="1" t="str">
        <f>IF(C135,9.8*F126*LN((C135+U126)/(C135+V126)),"")</f>
        <v/>
      </c>
      <c r="P135" s="15" t="str">
        <f>IF(C135,SUM(K135:O135),"")</f>
        <v/>
      </c>
      <c r="Q135" s="1"/>
      <c r="R135" s="1"/>
      <c r="S135" s="1"/>
      <c r="T135" s="32" t="str">
        <f t="shared" si="41"/>
        <v/>
      </c>
      <c r="U135" s="1"/>
      <c r="V135" s="1"/>
    </row>
    <row r="136" spans="1:22" ht="15" thickBot="1">
      <c r="A136" s="48" t="s">
        <v>46</v>
      </c>
      <c r="B136" s="49" t="s">
        <v>33</v>
      </c>
      <c r="C136" s="50"/>
      <c r="D136" s="25" t="str">
        <f>IF(C136,C136+Q122,"")</f>
        <v/>
      </c>
      <c r="E136" s="73" t="str">
        <f t="shared" si="40"/>
        <v/>
      </c>
      <c r="F136" s="70" t="str">
        <f>IF(AND(C136&lt;&gt;"",N120&lt;&gt;""),(M122/F122*E120+M123/F123*D120)/(C136+U122),"")</f>
        <v/>
      </c>
      <c r="G136" s="25" t="str">
        <f>IF(C136,IF(AND(F122&lt;&gt;0,C120&lt;&gt;0),M123,M123/F123*D120)/(C136+U123),"")</f>
        <v/>
      </c>
      <c r="H136" s="25" t="str">
        <f>IF(C136,(M124)/(C136+U124),"")</f>
        <v/>
      </c>
      <c r="I136" s="25" t="str">
        <f>IF(C136,(M125)/(C136+U125),"")</f>
        <v/>
      </c>
      <c r="J136" s="25" t="str">
        <f>IF(C136,(M126)/(C136+U126),"")</f>
        <v/>
      </c>
      <c r="K136" s="70" t="str">
        <f>IF(AND(C136&lt;&gt;"",N120&lt;&gt;""),9.8*N120*LN((C136+U122)/(C136+V122)),"")</f>
        <v/>
      </c>
      <c r="L136" s="25" t="str">
        <f>IF(C136,9.8*F123*LN((C136+U123)/(C136+V123)),"")</f>
        <v/>
      </c>
      <c r="M136" s="25" t="str">
        <f>IF(C136,9.8*F124*LN((C136+U124)/(C136+V124)),"")</f>
        <v/>
      </c>
      <c r="N136" s="25" t="str">
        <f>IF(C136,9.8*F125*LN((C136+U125)/(C136+V125)),"")</f>
        <v/>
      </c>
      <c r="O136" s="25" t="str">
        <f>IF(C136,9.8*F126*LN((C136+U126)/(C136+V126)),"")</f>
        <v/>
      </c>
      <c r="P136" s="71" t="str">
        <f>IF(C136,SUM(K136:O136),"")</f>
        <v/>
      </c>
      <c r="Q136" s="25"/>
      <c r="R136" s="25"/>
      <c r="S136" s="25"/>
      <c r="T136" s="51" t="str">
        <f t="shared" si="41"/>
        <v/>
      </c>
      <c r="U136" s="25"/>
      <c r="V136" s="25"/>
    </row>
    <row r="137" spans="1:22" ht="15" thickBot="1"/>
    <row r="138" spans="1:22" ht="15" thickBot="1">
      <c r="A138" s="52" t="s">
        <v>334</v>
      </c>
      <c r="B138" s="52"/>
      <c r="C138" s="29" t="s">
        <v>0</v>
      </c>
      <c r="D138" s="90" t="s">
        <v>41</v>
      </c>
      <c r="E138" s="90"/>
      <c r="F138" s="43"/>
      <c r="G138" s="43"/>
      <c r="H138" s="43"/>
      <c r="I138" s="86" t="s">
        <v>42</v>
      </c>
      <c r="J138" s="86"/>
      <c r="K138" s="86"/>
      <c r="L138" s="54" t="s">
        <v>70</v>
      </c>
      <c r="M138" s="86" t="s">
        <v>71</v>
      </c>
      <c r="N138" s="86"/>
      <c r="O138" s="87"/>
      <c r="P138" s="29" t="s">
        <v>49</v>
      </c>
      <c r="Q138" s="34" t="str">
        <f>IF(OR(P142&lt;P141,T142&lt;T141),"芯级燃烧时间不得小于助推燃烧时间！","")</f>
        <v/>
      </c>
      <c r="R138" s="44"/>
      <c r="S138" s="45"/>
      <c r="T138" s="29"/>
      <c r="U138" s="46" t="s">
        <v>45</v>
      </c>
      <c r="V138" s="46" t="s">
        <v>48</v>
      </c>
    </row>
    <row r="139" spans="1:22" ht="15" thickBot="1">
      <c r="A139" s="40" t="s">
        <v>333</v>
      </c>
      <c r="B139" s="39"/>
      <c r="C139" s="2">
        <v>0</v>
      </c>
      <c r="D139" s="2">
        <v>265</v>
      </c>
      <c r="E139" s="2">
        <v>0</v>
      </c>
      <c r="F139" s="41"/>
      <c r="G139" s="42"/>
      <c r="H139" s="42"/>
      <c r="I139" s="24" t="s">
        <v>366</v>
      </c>
      <c r="J139" s="24"/>
      <c r="K139" s="24"/>
      <c r="L139" s="55">
        <f>IFERROR(IF(AND(F141&lt;&gt;0,C139&lt;&gt;0),M141/F141*E139+M142/F142*D139,M142/F142*D139),0)</f>
        <v>349.97666666666669</v>
      </c>
      <c r="M139" s="53" t="s">
        <v>45</v>
      </c>
      <c r="N139" s="17" t="str">
        <f>IF(AND(F141&lt;&gt;0,C139&lt;&gt;0),(M141+M142)/(M141/F141+M142/F142),"")</f>
        <v/>
      </c>
      <c r="O139" s="56" t="s">
        <v>46</v>
      </c>
      <c r="P139" s="89" t="s">
        <v>17</v>
      </c>
      <c r="Q139" s="89"/>
      <c r="R139" s="91"/>
      <c r="S139" s="88" t="s">
        <v>18</v>
      </c>
      <c r="T139" s="89"/>
      <c r="U139" s="89"/>
      <c r="V139" s="89"/>
    </row>
    <row r="140" spans="1:22" ht="15" thickBot="1">
      <c r="A140" s="33" t="s">
        <v>45</v>
      </c>
      <c r="B140" s="26" t="s">
        <v>39</v>
      </c>
      <c r="C140" s="1" t="s">
        <v>60</v>
      </c>
      <c r="D140" s="1" t="s">
        <v>61</v>
      </c>
      <c r="E140" s="1" t="s">
        <v>62</v>
      </c>
      <c r="F140" s="1" t="s">
        <v>63</v>
      </c>
      <c r="G140" s="1" t="s">
        <v>64</v>
      </c>
      <c r="H140" s="1" t="s">
        <v>65</v>
      </c>
      <c r="I140" s="60" t="s">
        <v>358</v>
      </c>
      <c r="J140" s="24"/>
      <c r="K140" s="24"/>
      <c r="L140" s="11" t="s">
        <v>6</v>
      </c>
      <c r="M140" s="12" t="s">
        <v>69</v>
      </c>
      <c r="N140" s="12" t="s">
        <v>15</v>
      </c>
      <c r="O140" s="13" t="s">
        <v>14</v>
      </c>
      <c r="P140" s="14" t="s">
        <v>12</v>
      </c>
      <c r="Q140" s="1" t="s">
        <v>10</v>
      </c>
      <c r="R140" s="15" t="s">
        <v>11</v>
      </c>
      <c r="S140" s="14" t="s">
        <v>13</v>
      </c>
      <c r="T140" s="1" t="s">
        <v>16</v>
      </c>
      <c r="U140" s="1" t="s">
        <v>10</v>
      </c>
      <c r="V140" s="1" t="s">
        <v>11</v>
      </c>
    </row>
    <row r="141" spans="1:22">
      <c r="A141" s="40"/>
      <c r="B141" s="27" t="s">
        <v>3</v>
      </c>
      <c r="C141" s="3"/>
      <c r="D141" s="4"/>
      <c r="E141" s="4"/>
      <c r="F141" s="4"/>
      <c r="G141" s="19"/>
      <c r="H141" s="20"/>
      <c r="I141" s="24" t="s">
        <v>357</v>
      </c>
      <c r="J141" s="24"/>
      <c r="K141" s="24"/>
      <c r="L141" s="14">
        <f>C141*C139</f>
        <v>0</v>
      </c>
      <c r="M141" s="1">
        <f>E141*C139</f>
        <v>0</v>
      </c>
      <c r="N141" s="1">
        <f>IF(D141,L141/D141,0)</f>
        <v>0</v>
      </c>
      <c r="O141" s="15">
        <f>L141-N141</f>
        <v>0</v>
      </c>
      <c r="P141" s="14">
        <f>IF(AND(F141&lt;&gt;0,C139&lt;&gt;0),O141/M141*F141/IF(G141,G141,1),0)</f>
        <v>0</v>
      </c>
      <c r="Q141" s="1">
        <f>SUM(L141:L145)</f>
        <v>246</v>
      </c>
      <c r="R141" s="15">
        <f>N141+Q142</f>
        <v>246</v>
      </c>
      <c r="S141" s="14">
        <f>N141+H141*O141</f>
        <v>0</v>
      </c>
      <c r="T141" s="1">
        <f>IF(AND(F141&lt;&gt;0,C139&lt;&gt;0),(1-H141)*O141/M141*F141/IF(G141,G141,1),0)</f>
        <v>0</v>
      </c>
      <c r="U141" s="1">
        <f>SUM(L141:L145)</f>
        <v>246</v>
      </c>
      <c r="V141" s="1">
        <f>S141+U142</f>
        <v>246</v>
      </c>
    </row>
    <row r="142" spans="1:22">
      <c r="A142" s="47"/>
      <c r="B142" s="27">
        <v>1</v>
      </c>
      <c r="C142" s="5">
        <v>190</v>
      </c>
      <c r="D142" s="1">
        <v>11</v>
      </c>
      <c r="E142" s="1">
        <v>396.2</v>
      </c>
      <c r="F142" s="1">
        <v>300</v>
      </c>
      <c r="G142" s="5">
        <v>1</v>
      </c>
      <c r="H142" s="21">
        <v>0.188</v>
      </c>
      <c r="I142" s="30" t="s">
        <v>355</v>
      </c>
      <c r="J142" s="30"/>
      <c r="K142" s="30"/>
      <c r="L142" s="14">
        <f>C142</f>
        <v>190</v>
      </c>
      <c r="M142" s="1">
        <f>E142</f>
        <v>396.2</v>
      </c>
      <c r="N142" s="1">
        <f>IF(D142,L142/D142,0)</f>
        <v>17.272727272727273</v>
      </c>
      <c r="O142" s="15">
        <f>L142-N142</f>
        <v>172.72727272727272</v>
      </c>
      <c r="P142" s="14">
        <f t="shared" ref="P142:P145" si="42">IF(F142,O142/M142*F142/IF(G142,G142,1),0)</f>
        <v>130.78793997521913</v>
      </c>
      <c r="Q142" s="1">
        <f>IF(F142,SUM(L142:L145)-P141*M142/F142*IF(G142,G142,1),0)</f>
        <v>246</v>
      </c>
      <c r="R142" s="15">
        <f>N142+Q143</f>
        <v>73.27272727272728</v>
      </c>
      <c r="S142" s="14">
        <f>N142+H142*O142</f>
        <v>49.745454545454542</v>
      </c>
      <c r="T142" s="1">
        <f>IF(F142,(1-H142)*O142/M142*F142/IF(G142,G142,1),0)</f>
        <v>106.19980725987793</v>
      </c>
      <c r="U142" s="1">
        <f>IF(F142,SUM(L142:L145)-T141*M142/F142*IF(G142,G142,1),0)</f>
        <v>246</v>
      </c>
      <c r="V142" s="1">
        <f>S142+U143</f>
        <v>105.74545454545455</v>
      </c>
    </row>
    <row r="143" spans="1:22">
      <c r="A143" s="47"/>
      <c r="B143" s="27">
        <v>2</v>
      </c>
      <c r="C143" s="5">
        <v>56</v>
      </c>
      <c r="D143" s="1">
        <v>11</v>
      </c>
      <c r="E143" s="1">
        <v>60</v>
      </c>
      <c r="F143" s="1">
        <v>330</v>
      </c>
      <c r="G143" s="5"/>
      <c r="H143" s="21"/>
      <c r="I143" s="30" t="s">
        <v>356</v>
      </c>
      <c r="J143" s="30"/>
      <c r="K143" s="30"/>
      <c r="L143" s="14">
        <f>C143</f>
        <v>56</v>
      </c>
      <c r="M143" s="1">
        <f>E143</f>
        <v>60</v>
      </c>
      <c r="N143" s="1">
        <f>IF(D143,L143/D143,0)</f>
        <v>5.0909090909090908</v>
      </c>
      <c r="O143" s="15">
        <f>L143-N143</f>
        <v>50.909090909090907</v>
      </c>
      <c r="P143" s="14">
        <f t="shared" si="42"/>
        <v>279.99999999999994</v>
      </c>
      <c r="Q143" s="1">
        <f>SUM(L143:L145)</f>
        <v>56</v>
      </c>
      <c r="R143" s="15">
        <f>N143+Q144</f>
        <v>5.0909090909090908</v>
      </c>
      <c r="S143" s="14">
        <f>N143+H143*O143</f>
        <v>5.0909090909090908</v>
      </c>
      <c r="T143" s="1">
        <f t="shared" ref="T143:T145" si="43">IF(F143,(1-H143)*O143/M143*F143/IF(G143,G143,1),0)</f>
        <v>279.99999999999994</v>
      </c>
      <c r="U143" s="1">
        <f>SUM(L143:L145)</f>
        <v>56</v>
      </c>
      <c r="V143" s="1">
        <f>S143+U144</f>
        <v>5.0909090909090908</v>
      </c>
    </row>
    <row r="144" spans="1:22">
      <c r="A144" s="33" t="s">
        <v>45</v>
      </c>
      <c r="B144" s="27">
        <v>3</v>
      </c>
      <c r="C144" s="5"/>
      <c r="D144" s="1"/>
      <c r="E144" s="1"/>
      <c r="F144" s="1"/>
      <c r="G144" s="5"/>
      <c r="H144" s="21"/>
      <c r="I144" s="30" t="s">
        <v>379</v>
      </c>
      <c r="J144" s="30"/>
      <c r="K144" s="30"/>
      <c r="L144" s="14">
        <f>C144</f>
        <v>0</v>
      </c>
      <c r="M144" s="1">
        <f>E144</f>
        <v>0</v>
      </c>
      <c r="N144" s="1">
        <f>IF(D144,L144/D144,0)</f>
        <v>0</v>
      </c>
      <c r="O144" s="15">
        <f>L144-N144</f>
        <v>0</v>
      </c>
      <c r="P144" s="14">
        <f t="shared" si="42"/>
        <v>0</v>
      </c>
      <c r="Q144" s="1">
        <f>SUM(L144:L145)</f>
        <v>0</v>
      </c>
      <c r="R144" s="15">
        <f>N144+Q145</f>
        <v>0</v>
      </c>
      <c r="S144" s="14">
        <f>N144+H144*O144</f>
        <v>0</v>
      </c>
      <c r="T144" s="1">
        <f t="shared" si="43"/>
        <v>0</v>
      </c>
      <c r="U144" s="1">
        <f>SUM(L144:L145)</f>
        <v>0</v>
      </c>
      <c r="V144" s="1">
        <f>S144+U145</f>
        <v>0</v>
      </c>
    </row>
    <row r="145" spans="1:22" ht="15" thickBot="1">
      <c r="A145" s="40"/>
      <c r="B145" s="28">
        <v>4</v>
      </c>
      <c r="C145" s="6"/>
      <c r="D145" s="7"/>
      <c r="E145" s="7"/>
      <c r="F145" s="7"/>
      <c r="G145" s="22"/>
      <c r="H145" s="23"/>
      <c r="I145" s="24"/>
      <c r="J145" s="24"/>
      <c r="K145" s="24"/>
      <c r="L145" s="16">
        <f>C145</f>
        <v>0</v>
      </c>
      <c r="M145" s="17">
        <f>E145</f>
        <v>0</v>
      </c>
      <c r="N145" s="17">
        <f>IF(D145,L145/D145,0)</f>
        <v>0</v>
      </c>
      <c r="O145" s="18">
        <f>L145-N145</f>
        <v>0</v>
      </c>
      <c r="P145" s="14">
        <f t="shared" si="42"/>
        <v>0</v>
      </c>
      <c r="Q145" s="17">
        <f>SUM(L145:L145)</f>
        <v>0</v>
      </c>
      <c r="R145" s="18">
        <f>N145</f>
        <v>0</v>
      </c>
      <c r="S145" s="16">
        <f>N145+H145*O145</f>
        <v>0</v>
      </c>
      <c r="T145" s="17">
        <f t="shared" si="43"/>
        <v>0</v>
      </c>
      <c r="U145" s="17">
        <f>SUM(L145:L145)</f>
        <v>0</v>
      </c>
      <c r="V145" s="17">
        <f>S145</f>
        <v>0</v>
      </c>
    </row>
    <row r="146" spans="1:22" ht="15" thickBot="1">
      <c r="A146" s="47"/>
      <c r="B146" s="26" t="s">
        <v>38</v>
      </c>
      <c r="C146" s="1" t="s">
        <v>4</v>
      </c>
      <c r="D146" s="1" t="s">
        <v>28</v>
      </c>
      <c r="E146" s="1" t="s">
        <v>265</v>
      </c>
      <c r="F146" s="69" t="s">
        <v>40</v>
      </c>
      <c r="G146" s="1" t="s">
        <v>29</v>
      </c>
      <c r="H146" s="1" t="s">
        <v>23</v>
      </c>
      <c r="I146" s="12" t="s">
        <v>24</v>
      </c>
      <c r="J146" s="12" t="s">
        <v>25</v>
      </c>
      <c r="K146" s="11" t="s">
        <v>19</v>
      </c>
      <c r="L146" s="12" t="s">
        <v>26</v>
      </c>
      <c r="M146" s="12" t="s">
        <v>20</v>
      </c>
      <c r="N146" s="12" t="s">
        <v>21</v>
      </c>
      <c r="O146" s="12" t="s">
        <v>22</v>
      </c>
      <c r="P146" s="13" t="s">
        <v>27</v>
      </c>
      <c r="Q146" s="85" t="s">
        <v>42</v>
      </c>
      <c r="R146" s="85"/>
      <c r="S146" s="85"/>
      <c r="T146" s="31" t="s">
        <v>50</v>
      </c>
      <c r="U146" s="35" t="s">
        <v>47</v>
      </c>
      <c r="V146" s="36" t="s">
        <v>264</v>
      </c>
    </row>
    <row r="147" spans="1:22">
      <c r="A147" s="47"/>
      <c r="B147" s="27" t="s">
        <v>30</v>
      </c>
      <c r="C147" s="8">
        <v>5</v>
      </c>
      <c r="D147" s="1">
        <f>IF(C147,C147+Q141,"")</f>
        <v>251</v>
      </c>
      <c r="E147" s="72">
        <f>IF(C147,C147/D147,"")</f>
        <v>1.9920318725099601E-2</v>
      </c>
      <c r="F147" s="14" t="str">
        <f>IF(AND(C147&lt;&gt;"",N139&lt;&gt;""),(M141/F141*E139+M142/F142*D139)/(C147+Q141),"")</f>
        <v/>
      </c>
      <c r="G147" s="1">
        <f>IF(C147,IF(AND(F141&lt;&gt;0,C139&lt;&gt;0),M142,M142/F142*D139)/(C147+Q142),"")</f>
        <v>1.3943293492695883</v>
      </c>
      <c r="H147" s="1">
        <f>IF(C147,(M143)/(C147+Q143),"")</f>
        <v>0.98360655737704916</v>
      </c>
      <c r="I147" s="1">
        <f>IF(C147,(M144)/(C147+Q144),"")</f>
        <v>0</v>
      </c>
      <c r="J147" s="1">
        <f>IF(C147,(M145)/(C147+Q145),"")</f>
        <v>0</v>
      </c>
      <c r="K147" s="14" t="str">
        <f>IF(AND(C147&lt;&gt;"",N139&lt;&gt;""),9.8*N139*LN((C147+Q141)/(C147+R141)),"")</f>
        <v/>
      </c>
      <c r="L147" s="1">
        <f>IF(C147,9.8*F142*LN((C147+Q142)/(C147+R142)),"")</f>
        <v>3425.8459000571247</v>
      </c>
      <c r="M147" s="1">
        <f>IF(C147,9.8*F143*LN((C147+Q143)/(C147+R143)),"")</f>
        <v>5818.7387179223315</v>
      </c>
      <c r="N147" s="1">
        <f>IF(C147,9.8*F144*LN((C147+Q144)/(C147+R144)),"")</f>
        <v>0</v>
      </c>
      <c r="O147" s="1">
        <f>IF(C147,9.8*F145*LN((C147+Q145)/(C147+R145)),"")</f>
        <v>0</v>
      </c>
      <c r="P147" s="15">
        <f>IF(C147,SUM(K147:O147),"")</f>
        <v>9244.5846179794571</v>
      </c>
      <c r="Q147" s="1"/>
      <c r="R147" s="1"/>
      <c r="S147" s="1"/>
      <c r="T147" s="32" t="str">
        <f>IF(OR(F147&lt;1,AND(F147="",G147&lt;1)),"起飞推重比不得小于0，空天飞机除外","")</f>
        <v/>
      </c>
      <c r="U147" s="1"/>
      <c r="V147" s="1"/>
    </row>
    <row r="148" spans="1:22">
      <c r="A148" s="33" t="s">
        <v>47</v>
      </c>
      <c r="B148" s="27" t="s">
        <v>31</v>
      </c>
      <c r="C148" s="9"/>
      <c r="D148" s="1" t="str">
        <f>IF(C148,C148+Q141,"")</f>
        <v/>
      </c>
      <c r="E148" s="72" t="str">
        <f t="shared" ref="E148:E150" si="44">IF(C148,C148/D148,"")</f>
        <v/>
      </c>
      <c r="F148" s="14" t="str">
        <f>IF(AND(C148&lt;&gt;"",N139&lt;&gt;""),(M141/F141*E139+M142/F142*D139)/(C148+Q141),"")</f>
        <v/>
      </c>
      <c r="G148" s="1" t="str">
        <f>IF(C148,IF(AND(F141&lt;&gt;0,C139&lt;&gt;0),M142,M142/F142*D139)/(C148+Q142),"")</f>
        <v/>
      </c>
      <c r="H148" s="1" t="str">
        <f>IF(C148,(M143)/(C148+Q143),"")</f>
        <v/>
      </c>
      <c r="I148" s="1" t="str">
        <f>IF(C148,(M144)/(C148+Q144),"")</f>
        <v/>
      </c>
      <c r="J148" s="1" t="str">
        <f>IF(C148,(M145)/(C148+Q145),"")</f>
        <v/>
      </c>
      <c r="K148" s="14" t="str">
        <f>IF(AND(C148&lt;&gt;"",N139&lt;&gt;""),9.8*N139*LN((C148+Q141)/(C148+R141)),"")</f>
        <v/>
      </c>
      <c r="L148" s="1" t="str">
        <f>IF(C148,9.8*F142*LN((C148+Q142)/(C148+R142)),"")</f>
        <v/>
      </c>
      <c r="M148" s="1" t="str">
        <f>IF(C148,9.8*F143*LN((C148+Q143)/(C148+R143)),"")</f>
        <v/>
      </c>
      <c r="N148" s="1" t="str">
        <f>IF(C148,9.8*F144*LN((C148+Q144)/(C148+R144)),"")</f>
        <v/>
      </c>
      <c r="O148" s="1" t="str">
        <f>IF(C148,9.8*F145*LN((C148+Q145)/(C148+R145)),"")</f>
        <v/>
      </c>
      <c r="P148" s="15" t="str">
        <f>IF(C148,SUM(K148:O148),"")</f>
        <v/>
      </c>
      <c r="Q148" s="1"/>
      <c r="R148" s="1"/>
      <c r="S148" s="1"/>
      <c r="T148" s="32" t="str">
        <f t="shared" ref="T148:T150" si="45">IF(OR(F148&lt;1,AND(F148="",G148&lt;1)),"起飞推重比不得小于0，空天飞机除外","")</f>
        <v/>
      </c>
      <c r="U148" s="1"/>
      <c r="V148" s="1"/>
    </row>
    <row r="149" spans="1:22">
      <c r="A149" s="40"/>
      <c r="B149" s="27" t="s">
        <v>36</v>
      </c>
      <c r="C149" s="9"/>
      <c r="D149" s="1" t="str">
        <f>IF(C149,C149+Q141,"")</f>
        <v/>
      </c>
      <c r="E149" s="72" t="str">
        <f t="shared" si="44"/>
        <v/>
      </c>
      <c r="F149" s="14" t="str">
        <f>IF(AND(C149&lt;&gt;"",N139&lt;&gt;""),(M141/F141*E139+M142/F142*D139)/(C149+Q141),"")</f>
        <v/>
      </c>
      <c r="G149" s="1" t="str">
        <f>IF(C149,IF(AND(F141&lt;&gt;0,C139&lt;&gt;0),M142,M142/F142*D139)/(C149+Q142),"")</f>
        <v/>
      </c>
      <c r="H149" s="1" t="str">
        <f>IF(C149,(M143)/(C149+Q143),"")</f>
        <v/>
      </c>
      <c r="I149" s="1" t="str">
        <f>IF(C149,(M144)/(C149+Q144),"")</f>
        <v/>
      </c>
      <c r="J149" s="1" t="str">
        <f>IF(C149,(M145)/(C149+Q145),"")</f>
        <v/>
      </c>
      <c r="K149" s="14" t="str">
        <f>IF(AND(C149&lt;&gt;"",N139&lt;&gt;""),9.8*N139*LN((C149+Q141)/(C149+R141)),"")</f>
        <v/>
      </c>
      <c r="L149" s="1" t="str">
        <f>IF(C149,9.8*F142*LN((C149+Q142)/(C149+R142)),"")</f>
        <v/>
      </c>
      <c r="M149" s="1" t="str">
        <f>IF(C149,9.8*F143*LN((C149+Q143)/(C149+R143)),"")</f>
        <v/>
      </c>
      <c r="N149" s="1" t="str">
        <f>IF(C149,9.8*F144*LN((C149+Q144)/(C149+R144)),"")</f>
        <v/>
      </c>
      <c r="O149" s="1" t="str">
        <f>IF(C149,9.8*F145*LN((C149+Q145)/(C149+R145)),"")</f>
        <v/>
      </c>
      <c r="P149" s="15" t="str">
        <f>IF(C149,SUM(K149:O149),"")</f>
        <v/>
      </c>
      <c r="Q149" s="1"/>
      <c r="R149" s="1"/>
      <c r="S149" s="1"/>
      <c r="T149" s="32" t="str">
        <f t="shared" si="45"/>
        <v/>
      </c>
      <c r="U149" s="1"/>
      <c r="V149" s="1"/>
    </row>
    <row r="150" spans="1:22" ht="15" thickBot="1">
      <c r="A150" s="47"/>
      <c r="B150" s="28" t="s">
        <v>5</v>
      </c>
      <c r="C150" s="10"/>
      <c r="D150" s="1" t="str">
        <f>IF(C150,C150+Q141,"")</f>
        <v/>
      </c>
      <c r="E150" s="72" t="str">
        <f t="shared" si="44"/>
        <v/>
      </c>
      <c r="F150" s="14" t="str">
        <f>IF(AND(C150&lt;&gt;"",N139&lt;&gt;""),(M141/F141*E139+M142/F142*D139)/(C150+Q141),"")</f>
        <v/>
      </c>
      <c r="G150" s="1" t="str">
        <f>IF(C150,IF(AND(F141&lt;&gt;0,C139&lt;&gt;0),M142,M142/F142*D139)/(C150+Q142),"")</f>
        <v/>
      </c>
      <c r="H150" s="1" t="str">
        <f>IF(C150,(M143)/(C150+Q143),"")</f>
        <v/>
      </c>
      <c r="I150" s="1" t="str">
        <f>IF(C150,(M144)/(C150+Q144),"")</f>
        <v/>
      </c>
      <c r="J150" s="1" t="str">
        <f>IF(C150,(M145)/(C150+Q145),"")</f>
        <v/>
      </c>
      <c r="K150" s="14" t="str">
        <f>IF(AND(C150&lt;&gt;"",N139&lt;&gt;""),9.8*N139*LN((C150+Q141)/(C150+R141)),"")</f>
        <v/>
      </c>
      <c r="L150" s="1" t="str">
        <f>IF(C150,9.8*F142*LN((C150+Q142)/(C150+R142)),"")</f>
        <v/>
      </c>
      <c r="M150" s="1" t="str">
        <f>IF(C150,9.8*F143*LN((C150+Q143)/(C150+R143)),"")</f>
        <v/>
      </c>
      <c r="N150" s="1" t="str">
        <f>IF(C150,9.8*F144*LN((C150+Q144)/(C150+R144)),"")</f>
        <v/>
      </c>
      <c r="O150" s="1" t="str">
        <f>IF(C150,9.8*F145*LN((C150+Q145)/(C150+R145)),"")</f>
        <v/>
      </c>
      <c r="P150" s="15" t="str">
        <f>IF(C150,SUM(K150:O150),"")</f>
        <v/>
      </c>
      <c r="Q150" s="17"/>
      <c r="R150" s="17"/>
      <c r="S150" s="17"/>
      <c r="T150" s="32" t="str">
        <f t="shared" si="45"/>
        <v/>
      </c>
      <c r="U150" s="1"/>
      <c r="V150" s="1"/>
    </row>
    <row r="151" spans="1:22" ht="15" thickBot="1">
      <c r="A151" s="33" t="s">
        <v>45</v>
      </c>
      <c r="B151" s="26" t="s">
        <v>37</v>
      </c>
      <c r="C151" s="1" t="s">
        <v>54</v>
      </c>
      <c r="D151" s="12" t="s">
        <v>28</v>
      </c>
      <c r="E151" s="12" t="s">
        <v>266</v>
      </c>
      <c r="F151" s="11" t="s">
        <v>40</v>
      </c>
      <c r="G151" s="12" t="s">
        <v>29</v>
      </c>
      <c r="H151" s="12" t="s">
        <v>23</v>
      </c>
      <c r="I151" s="12" t="s">
        <v>24</v>
      </c>
      <c r="J151" s="12" t="s">
        <v>25</v>
      </c>
      <c r="K151" s="11" t="s">
        <v>19</v>
      </c>
      <c r="L151" s="12" t="s">
        <v>26</v>
      </c>
      <c r="M151" s="12" t="s">
        <v>20</v>
      </c>
      <c r="N151" s="12" t="s">
        <v>21</v>
      </c>
      <c r="O151" s="12" t="s">
        <v>22</v>
      </c>
      <c r="P151" s="13" t="s">
        <v>27</v>
      </c>
      <c r="Q151" s="85" t="s">
        <v>42</v>
      </c>
      <c r="R151" s="85"/>
      <c r="S151" s="85"/>
      <c r="T151" s="12" t="s">
        <v>51</v>
      </c>
      <c r="U151" s="37" t="s">
        <v>45</v>
      </c>
      <c r="V151" s="38" t="s">
        <v>48</v>
      </c>
    </row>
    <row r="152" spans="1:22">
      <c r="A152" s="40"/>
      <c r="B152" s="27" t="s">
        <v>30</v>
      </c>
      <c r="C152" s="8">
        <v>2</v>
      </c>
      <c r="D152" s="1">
        <f>IF(C152,C152+Q141,"")</f>
        <v>248</v>
      </c>
      <c r="E152" s="72">
        <f>IF(C152,C152/D152,"")</f>
        <v>8.0645161290322578E-3</v>
      </c>
      <c r="F152" s="14" t="str">
        <f>IF(AND(C152&lt;&gt;"",N139&lt;&gt;""),(M141/F141*E139+M142/F142*D139)/(C152+U141),"")</f>
        <v/>
      </c>
      <c r="G152" s="1">
        <f>IF(C152,IF(AND(F141&lt;&gt;0,C139&lt;&gt;0),M142,M142/F142*D139)/(C152+U142),"")</f>
        <v>1.4111962365591399</v>
      </c>
      <c r="H152" s="1">
        <f>IF(C152,(M143)/(C152+U143),"")</f>
        <v>1.0344827586206897</v>
      </c>
      <c r="I152" s="1">
        <f>IF(C152,(M144)/(C152+U144),"")</f>
        <v>0</v>
      </c>
      <c r="J152" s="1">
        <f>IF(C152,(M145)/(C152+U145),"")</f>
        <v>0</v>
      </c>
      <c r="K152" s="14" t="str">
        <f>IF(AND(C152&lt;&gt;"",N139&lt;&gt;""),9.8*N139*LN((C152+U141)/(C152+V141)),"")</f>
        <v/>
      </c>
      <c r="L152" s="1">
        <f>IF(C152,9.8*F142*LN((C152+U142)/(C152+V142)),"")</f>
        <v>2450.9521775959906</v>
      </c>
      <c r="M152" s="1">
        <f>IF(C152,9.8*F143*LN((C152+U143)/(C152+V143)),"")</f>
        <v>6796.669662822912</v>
      </c>
      <c r="N152" s="1">
        <f>IF(C152,9.8*F144*LN((C152+U144)/(C152+V144)),"")</f>
        <v>0</v>
      </c>
      <c r="O152" s="1">
        <f>IF(C152,9.8*F145*LN((C152+U145)/(C152+V145)),"")</f>
        <v>0</v>
      </c>
      <c r="P152" s="15">
        <f>IF(C152,SUM(K152:O152),"")</f>
        <v>9247.6218404189021</v>
      </c>
      <c r="Q152" s="1"/>
      <c r="R152" s="1"/>
      <c r="S152" s="1"/>
      <c r="T152" s="32" t="str">
        <f>IF(OR(F152&lt;1,AND(F152="",G152&lt;1)),"起飞推重比不得小于0，空天飞机除外","")</f>
        <v/>
      </c>
      <c r="U152" s="1"/>
      <c r="V152" s="1"/>
    </row>
    <row r="153" spans="1:22">
      <c r="A153" s="47"/>
      <c r="B153" s="27" t="s">
        <v>31</v>
      </c>
      <c r="C153" s="9"/>
      <c r="D153" s="1" t="str">
        <f>IF(C153,C153+Q141,"")</f>
        <v/>
      </c>
      <c r="E153" s="72" t="str">
        <f t="shared" ref="E153:E155" si="46">IF(C153,C153/D153,"")</f>
        <v/>
      </c>
      <c r="F153" s="14" t="str">
        <f>IF(AND(C153&lt;&gt;"",N139&lt;&gt;""),(M141/F141*E139+M142/F142*D139)/(C153+U141),"")</f>
        <v/>
      </c>
      <c r="G153" s="1" t="str">
        <f>IF(C153,IF(AND(F141&lt;&gt;0,C139&lt;&gt;0),M142,M142/F142*D139)/(C153+U142),"")</f>
        <v/>
      </c>
      <c r="H153" s="1" t="str">
        <f>IF(C153,(M143)/(C153+U143),"")</f>
        <v/>
      </c>
      <c r="I153" s="1" t="str">
        <f>IF(C153,(M144)/(C153+U144),"")</f>
        <v/>
      </c>
      <c r="J153" s="1" t="str">
        <f>IF(C153,(M145)/(C153+U145),"")</f>
        <v/>
      </c>
      <c r="K153" s="14" t="str">
        <f>IF(AND(C153&lt;&gt;"",N139&lt;&gt;""),9.8*N139*LN((C153+U141)/(C153+V141)),"")</f>
        <v/>
      </c>
      <c r="L153" s="1" t="str">
        <f>IF(C153,9.8*F142*LN((C153+U142)/(C153+V142)),"")</f>
        <v/>
      </c>
      <c r="M153" s="1" t="str">
        <f>IF(C153,9.8*F143*LN((C153+U143)/(C153+V143)),"")</f>
        <v/>
      </c>
      <c r="N153" s="1" t="str">
        <f>IF(C153,9.8*F144*LN((C153+U144)/(C153+V144)),"")</f>
        <v/>
      </c>
      <c r="O153" s="1" t="str">
        <f>IF(C153,9.8*F145*LN((C153+U145)/(C153+V145)),"")</f>
        <v/>
      </c>
      <c r="P153" s="15" t="str">
        <f>IF(C153,SUM(K153:O153),"")</f>
        <v/>
      </c>
      <c r="Q153" s="1"/>
      <c r="R153" s="1"/>
      <c r="S153" s="1"/>
      <c r="T153" s="32" t="str">
        <f t="shared" ref="T153:T155" si="47">IF(OR(F153&lt;1,AND(F153="",G153&lt;1)),"起飞推重比不得小于0，空天飞机除外","")</f>
        <v/>
      </c>
      <c r="U153" s="1"/>
      <c r="V153" s="1"/>
    </row>
    <row r="154" spans="1:22">
      <c r="A154" s="47"/>
      <c r="B154" s="27" t="s">
        <v>32</v>
      </c>
      <c r="C154" s="9"/>
      <c r="D154" s="1" t="str">
        <f>IF(C154,C154+Q141,"")</f>
        <v/>
      </c>
      <c r="E154" s="72" t="str">
        <f t="shared" si="46"/>
        <v/>
      </c>
      <c r="F154" s="14" t="str">
        <f>IF(AND(C154&lt;&gt;"",N139&lt;&gt;""),(M141/F141*E139+M142/F142*D139)/(C154+U141),"")</f>
        <v/>
      </c>
      <c r="G154" s="1" t="str">
        <f>IF(C154,IF(AND(F141&lt;&gt;0,C139&lt;&gt;0),M142,M142/F142*D139)/(C154+U142),"")</f>
        <v/>
      </c>
      <c r="H154" s="1" t="str">
        <f>IF(C154,(M143)/(C154+U143),"")</f>
        <v/>
      </c>
      <c r="I154" s="1" t="str">
        <f>IF(C154,(M144)/(C154+U144),"")</f>
        <v/>
      </c>
      <c r="J154" s="1" t="str">
        <f>IF(C154,(M145)/(C154+U145),"")</f>
        <v/>
      </c>
      <c r="K154" s="14" t="str">
        <f>IF(AND(C154&lt;&gt;"",N139&lt;&gt;""),9.8*N139*LN((C154+U141)/(C154+V141)),"")</f>
        <v/>
      </c>
      <c r="L154" s="1" t="str">
        <f>IF(C154,9.8*F142*LN((C154+U142)/(C154+V142)),"")</f>
        <v/>
      </c>
      <c r="M154" s="1" t="str">
        <f>IF(C154,9.8*F143*LN((C154+U143)/(C154+V143)),"")</f>
        <v/>
      </c>
      <c r="N154" s="1" t="str">
        <f>IF(C154,9.8*F144*LN((C154+U144)/(C154+V144)),"")</f>
        <v/>
      </c>
      <c r="O154" s="1" t="str">
        <f>IF(C154,9.8*F145*LN((C154+U145)/(C154+V145)),"")</f>
        <v/>
      </c>
      <c r="P154" s="15" t="str">
        <f>IF(C154,SUM(K154:O154),"")</f>
        <v/>
      </c>
      <c r="Q154" s="1"/>
      <c r="R154" s="1"/>
      <c r="S154" s="1"/>
      <c r="T154" s="32" t="str">
        <f t="shared" si="47"/>
        <v/>
      </c>
      <c r="U154" s="1"/>
      <c r="V154" s="1"/>
    </row>
    <row r="155" spans="1:22" ht="15" thickBot="1">
      <c r="A155" s="48" t="s">
        <v>46</v>
      </c>
      <c r="B155" s="49" t="s">
        <v>33</v>
      </c>
      <c r="C155" s="50"/>
      <c r="D155" s="25" t="str">
        <f>IF(C155,C155+Q141,"")</f>
        <v/>
      </c>
      <c r="E155" s="73" t="str">
        <f t="shared" si="46"/>
        <v/>
      </c>
      <c r="F155" s="70" t="str">
        <f>IF(AND(C155&lt;&gt;"",N139&lt;&gt;""),(M141/F141*E139+M142/F142*D139)/(C155+U141),"")</f>
        <v/>
      </c>
      <c r="G155" s="25" t="str">
        <f>IF(C155,IF(AND(F141&lt;&gt;0,C139&lt;&gt;0),M142,M142/F142*D139)/(C155+U142),"")</f>
        <v/>
      </c>
      <c r="H155" s="25" t="str">
        <f>IF(C155,(M143)/(C155+U143),"")</f>
        <v/>
      </c>
      <c r="I155" s="25" t="str">
        <f>IF(C155,(M144)/(C155+U144),"")</f>
        <v/>
      </c>
      <c r="J155" s="25" t="str">
        <f>IF(C155,(M145)/(C155+U145),"")</f>
        <v/>
      </c>
      <c r="K155" s="70" t="str">
        <f>IF(AND(C155&lt;&gt;"",N139&lt;&gt;""),9.8*N139*LN((C155+U141)/(C155+V141)),"")</f>
        <v/>
      </c>
      <c r="L155" s="25" t="str">
        <f>IF(C155,9.8*F142*LN((C155+U142)/(C155+V142)),"")</f>
        <v/>
      </c>
      <c r="M155" s="25" t="str">
        <f>IF(C155,9.8*F143*LN((C155+U143)/(C155+V143)),"")</f>
        <v/>
      </c>
      <c r="N155" s="25" t="str">
        <f>IF(C155,9.8*F144*LN((C155+U144)/(C155+V144)),"")</f>
        <v/>
      </c>
      <c r="O155" s="25" t="str">
        <f>IF(C155,9.8*F145*LN((C155+U145)/(C155+V145)),"")</f>
        <v/>
      </c>
      <c r="P155" s="71" t="str">
        <f>IF(C155,SUM(K155:O155),"")</f>
        <v/>
      </c>
      <c r="Q155" s="25"/>
      <c r="R155" s="25"/>
      <c r="S155" s="25"/>
      <c r="T155" s="51" t="str">
        <f t="shared" si="47"/>
        <v/>
      </c>
      <c r="U155" s="25"/>
      <c r="V155" s="25"/>
    </row>
    <row r="156" spans="1:22" ht="15" thickBot="1">
      <c r="A156" s="33"/>
      <c r="B156" s="27"/>
      <c r="C156" s="1"/>
      <c r="D156" s="1"/>
      <c r="E156" s="7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32"/>
      <c r="U156" s="1"/>
      <c r="V156" s="1"/>
    </row>
    <row r="157" spans="1:22" ht="15" thickBot="1">
      <c r="A157" s="52" t="s">
        <v>612</v>
      </c>
      <c r="B157" s="52"/>
      <c r="C157" s="29" t="s">
        <v>0</v>
      </c>
      <c r="D157" s="90" t="s">
        <v>41</v>
      </c>
      <c r="E157" s="90"/>
      <c r="F157" s="43"/>
      <c r="G157" s="43" t="s">
        <v>616</v>
      </c>
      <c r="H157" s="43"/>
      <c r="I157" s="86" t="s">
        <v>42</v>
      </c>
      <c r="J157" s="86"/>
      <c r="K157" s="86"/>
      <c r="L157" s="54" t="s">
        <v>70</v>
      </c>
      <c r="M157" s="86" t="s">
        <v>71</v>
      </c>
      <c r="N157" s="86"/>
      <c r="O157" s="87"/>
      <c r="P157" s="29" t="s">
        <v>49</v>
      </c>
      <c r="Q157" s="34" t="str">
        <f>IF(OR(P161&lt;P160,T161&lt;T160),"芯级燃烧时间不得小于助推燃烧时间！","")</f>
        <v/>
      </c>
      <c r="R157" s="44"/>
      <c r="S157" s="45"/>
      <c r="T157" s="29"/>
      <c r="U157" s="46" t="s">
        <v>45</v>
      </c>
      <c r="V157" s="46" t="s">
        <v>48</v>
      </c>
    </row>
    <row r="158" spans="1:22" ht="15" thickBot="1">
      <c r="A158" s="40" t="s">
        <v>614</v>
      </c>
      <c r="B158" s="39"/>
      <c r="C158" s="2">
        <v>0</v>
      </c>
      <c r="D158" s="2">
        <v>280</v>
      </c>
      <c r="E158" s="2">
        <v>0</v>
      </c>
      <c r="F158" s="41"/>
      <c r="G158" s="42" t="s">
        <v>617</v>
      </c>
      <c r="H158" s="42"/>
      <c r="I158" s="24" t="s">
        <v>618</v>
      </c>
      <c r="J158" s="24"/>
      <c r="K158" s="24"/>
      <c r="L158" s="55">
        <f>IFERROR(IF(AND(F160&lt;&gt;0,C158&lt;&gt;0),M160/F160*E158+M161/F161*D158,M161/F161*D158),0)</f>
        <v>560</v>
      </c>
      <c r="M158" s="53" t="s">
        <v>45</v>
      </c>
      <c r="N158" s="17" t="str">
        <f>IF(AND(F160&lt;&gt;0,C158&lt;&gt;0),(M160+M161)/(M160/F160+M161/F161),"")</f>
        <v/>
      </c>
      <c r="O158" s="56" t="s">
        <v>46</v>
      </c>
      <c r="P158" s="89" t="s">
        <v>17</v>
      </c>
      <c r="Q158" s="89"/>
      <c r="R158" s="91"/>
      <c r="S158" s="88" t="s">
        <v>18</v>
      </c>
      <c r="T158" s="89"/>
      <c r="U158" s="89"/>
      <c r="V158" s="89"/>
    </row>
    <row r="159" spans="1:22" ht="15" thickBot="1">
      <c r="A159" s="33" t="s">
        <v>45</v>
      </c>
      <c r="B159" s="26" t="s">
        <v>39</v>
      </c>
      <c r="C159" s="1" t="s">
        <v>60</v>
      </c>
      <c r="D159" s="1" t="s">
        <v>61</v>
      </c>
      <c r="E159" s="1" t="s">
        <v>62</v>
      </c>
      <c r="F159" s="1" t="s">
        <v>63</v>
      </c>
      <c r="G159" s="1" t="s">
        <v>64</v>
      </c>
      <c r="H159" s="1" t="s">
        <v>65</v>
      </c>
      <c r="I159" s="60" t="s">
        <v>623</v>
      </c>
      <c r="J159" s="24"/>
      <c r="K159" s="24"/>
      <c r="L159" s="11" t="s">
        <v>6</v>
      </c>
      <c r="M159" s="12" t="s">
        <v>69</v>
      </c>
      <c r="N159" s="12" t="s">
        <v>15</v>
      </c>
      <c r="O159" s="13" t="s">
        <v>14</v>
      </c>
      <c r="P159" s="14" t="s">
        <v>12</v>
      </c>
      <c r="Q159" s="1" t="s">
        <v>10</v>
      </c>
      <c r="R159" s="15" t="s">
        <v>11</v>
      </c>
      <c r="S159" s="14" t="s">
        <v>13</v>
      </c>
      <c r="T159" s="1" t="s">
        <v>16</v>
      </c>
      <c r="U159" s="1" t="s">
        <v>10</v>
      </c>
      <c r="V159" s="1" t="s">
        <v>11</v>
      </c>
    </row>
    <row r="160" spans="1:22">
      <c r="A160" s="40"/>
      <c r="B160" s="27" t="s">
        <v>3</v>
      </c>
      <c r="C160" s="3"/>
      <c r="D160" s="4"/>
      <c r="E160" s="4"/>
      <c r="F160" s="4"/>
      <c r="G160" s="19"/>
      <c r="H160" s="20"/>
      <c r="I160" s="24" t="s">
        <v>619</v>
      </c>
      <c r="J160" s="24"/>
      <c r="K160" s="24"/>
      <c r="L160" s="14">
        <f>C160*C158</f>
        <v>0</v>
      </c>
      <c r="M160" s="1">
        <f>E160*C158</f>
        <v>0</v>
      </c>
      <c r="N160" s="1">
        <f>IF(D160,L160/D160,0)</f>
        <v>0</v>
      </c>
      <c r="O160" s="15">
        <f>L160-N160</f>
        <v>0</v>
      </c>
      <c r="P160" s="14">
        <f>IF(AND(F160&lt;&gt;0,C158&lt;&gt;0),O160/M160*F160/IF(G160,G160,1),0)</f>
        <v>0</v>
      </c>
      <c r="Q160" s="1">
        <f>SUM(L160:L164)</f>
        <v>470.9</v>
      </c>
      <c r="R160" s="15">
        <f>N160+Q161</f>
        <v>470.9</v>
      </c>
      <c r="S160" s="14">
        <f>N160+H160*O160</f>
        <v>0</v>
      </c>
      <c r="T160" s="1">
        <f>IF(AND(F160&lt;&gt;0,C158&lt;&gt;0),(1-H160)*O160/M160*F160/IF(G160,G160,1),0)</f>
        <v>0</v>
      </c>
      <c r="U160" s="1">
        <f>SUM(L160:L164)</f>
        <v>470.9</v>
      </c>
      <c r="V160" s="1">
        <f>S160+U161</f>
        <v>470.9</v>
      </c>
    </row>
    <row r="161" spans="1:22">
      <c r="A161" s="47"/>
      <c r="B161" s="27">
        <v>1</v>
      </c>
      <c r="C161" s="5">
        <v>399.37</v>
      </c>
      <c r="D161" s="1">
        <v>13</v>
      </c>
      <c r="E161" s="1">
        <v>620</v>
      </c>
      <c r="F161" s="1">
        <v>310</v>
      </c>
      <c r="G161" s="5"/>
      <c r="H161" s="81">
        <v>4.5999999999999999E-2</v>
      </c>
      <c r="I161" s="30" t="s">
        <v>621</v>
      </c>
      <c r="J161" s="30"/>
      <c r="K161" s="30"/>
      <c r="L161" s="14">
        <f>C161</f>
        <v>399.37</v>
      </c>
      <c r="M161" s="1">
        <f>E161</f>
        <v>620</v>
      </c>
      <c r="N161" s="1">
        <f>IF(D161,L161/D161,0)</f>
        <v>30.720769230769232</v>
      </c>
      <c r="O161" s="15">
        <f>L161-N161</f>
        <v>368.64923076923077</v>
      </c>
      <c r="P161" s="14">
        <f t="shared" ref="P161:P164" si="48">IF(F161,O161/M161*F161/IF(G161,G161,1),0)</f>
        <v>184.32461538461538</v>
      </c>
      <c r="Q161" s="1">
        <f>IF(F161,SUM(L161:L164)-P160*M161/F161*IF(G161,G161,1),0)</f>
        <v>470.9</v>
      </c>
      <c r="R161" s="15">
        <f>N161+Q162</f>
        <v>102.25076923076924</v>
      </c>
      <c r="S161" s="14">
        <f>N161+H161*O161</f>
        <v>47.678633846153843</v>
      </c>
      <c r="T161" s="1">
        <f>IF(F161,(1-H161)*O161/M161*F161/IF(G161,G161,1),0)</f>
        <v>175.84568307692305</v>
      </c>
      <c r="U161" s="1">
        <f>IF(F161,SUM(L161:L164)-T160*M161/F161*IF(G161,G161,1),0)</f>
        <v>470.9</v>
      </c>
      <c r="V161" s="1">
        <f>S161+U162</f>
        <v>119.20863384615384</v>
      </c>
    </row>
    <row r="162" spans="1:22">
      <c r="A162" s="47"/>
      <c r="B162" s="27">
        <v>2</v>
      </c>
      <c r="C162" s="5">
        <v>71.53</v>
      </c>
      <c r="D162" s="1">
        <v>14</v>
      </c>
      <c r="E162" s="1">
        <v>95.7</v>
      </c>
      <c r="F162" s="1">
        <v>335</v>
      </c>
      <c r="G162" s="5"/>
      <c r="H162" s="21"/>
      <c r="I162" s="30" t="s">
        <v>622</v>
      </c>
      <c r="J162" s="30"/>
      <c r="K162" s="30"/>
      <c r="L162" s="14">
        <f>C162</f>
        <v>71.53</v>
      </c>
      <c r="M162" s="1">
        <f>E162</f>
        <v>95.7</v>
      </c>
      <c r="N162" s="1">
        <f>IF(D162,L162/D162,0)</f>
        <v>5.109285714285714</v>
      </c>
      <c r="O162" s="15">
        <f>L162-N162</f>
        <v>66.420714285714283</v>
      </c>
      <c r="P162" s="14">
        <f t="shared" si="48"/>
        <v>232.50720256754738</v>
      </c>
      <c r="Q162" s="1">
        <f>SUM(L162:L164)</f>
        <v>71.53</v>
      </c>
      <c r="R162" s="15">
        <f>N162+Q163</f>
        <v>5.109285714285714</v>
      </c>
      <c r="S162" s="14">
        <f>N162+H162*O162</f>
        <v>5.109285714285714</v>
      </c>
      <c r="T162" s="1">
        <f t="shared" ref="T162:T164" si="49">IF(F162,(1-H162)*O162/M162*F162/IF(G162,G162,1),0)</f>
        <v>232.50720256754738</v>
      </c>
      <c r="U162" s="1">
        <f>SUM(L162:L164)</f>
        <v>71.53</v>
      </c>
      <c r="V162" s="1">
        <f>S162+U163</f>
        <v>5.109285714285714</v>
      </c>
    </row>
    <row r="163" spans="1:22">
      <c r="A163" s="33" t="s">
        <v>45</v>
      </c>
      <c r="B163" s="27">
        <v>3</v>
      </c>
      <c r="C163" s="5"/>
      <c r="D163" s="1"/>
      <c r="E163" s="1"/>
      <c r="F163" s="1"/>
      <c r="G163" s="5"/>
      <c r="H163" s="21"/>
      <c r="I163" s="30" t="s">
        <v>643</v>
      </c>
      <c r="J163" s="30"/>
      <c r="K163" s="30"/>
      <c r="L163" s="14">
        <f>C163</f>
        <v>0</v>
      </c>
      <c r="M163" s="1">
        <f>E163</f>
        <v>0</v>
      </c>
      <c r="N163" s="1">
        <f>IF(D163,L163/D163,0)</f>
        <v>0</v>
      </c>
      <c r="O163" s="15">
        <f>L163-N163</f>
        <v>0</v>
      </c>
      <c r="P163" s="14">
        <f t="shared" si="48"/>
        <v>0</v>
      </c>
      <c r="Q163" s="1">
        <f>SUM(L163:L164)</f>
        <v>0</v>
      </c>
      <c r="R163" s="15">
        <f>N163+Q164</f>
        <v>0</v>
      </c>
      <c r="S163" s="14">
        <f>N163+H163*O163</f>
        <v>0</v>
      </c>
      <c r="T163" s="1">
        <f t="shared" si="49"/>
        <v>0</v>
      </c>
      <c r="U163" s="1">
        <f>SUM(L163:L164)</f>
        <v>0</v>
      </c>
      <c r="V163" s="1">
        <f>S163+U164</f>
        <v>0</v>
      </c>
    </row>
    <row r="164" spans="1:22" ht="15" thickBot="1">
      <c r="A164" s="40"/>
      <c r="B164" s="28">
        <v>4</v>
      </c>
      <c r="C164" s="6"/>
      <c r="D164" s="7"/>
      <c r="E164" s="7"/>
      <c r="F164" s="7"/>
      <c r="G164" s="22"/>
      <c r="H164" s="23"/>
      <c r="I164" s="30" t="s">
        <v>644</v>
      </c>
      <c r="J164" s="24"/>
      <c r="K164" s="24"/>
      <c r="L164" s="16">
        <f>C164</f>
        <v>0</v>
      </c>
      <c r="M164" s="17">
        <f>E164</f>
        <v>0</v>
      </c>
      <c r="N164" s="17">
        <f>IF(D164,L164/D164,0)</f>
        <v>0</v>
      </c>
      <c r="O164" s="18">
        <f>L164-N164</f>
        <v>0</v>
      </c>
      <c r="P164" s="14">
        <f t="shared" si="48"/>
        <v>0</v>
      </c>
      <c r="Q164" s="17">
        <f>SUM(L164:L164)</f>
        <v>0</v>
      </c>
      <c r="R164" s="18">
        <f>N164</f>
        <v>0</v>
      </c>
      <c r="S164" s="16">
        <f>N164+H164*O164</f>
        <v>0</v>
      </c>
      <c r="T164" s="17">
        <f t="shared" si="49"/>
        <v>0</v>
      </c>
      <c r="U164" s="17">
        <f>SUM(L164:L164)</f>
        <v>0</v>
      </c>
      <c r="V164" s="17">
        <f>S164</f>
        <v>0</v>
      </c>
    </row>
    <row r="165" spans="1:22" ht="15" thickBot="1">
      <c r="A165" s="47"/>
      <c r="B165" s="26" t="s">
        <v>38</v>
      </c>
      <c r="C165" s="1" t="s">
        <v>4</v>
      </c>
      <c r="D165" s="1" t="s">
        <v>28</v>
      </c>
      <c r="E165" s="1" t="s">
        <v>265</v>
      </c>
      <c r="F165" s="69" t="s">
        <v>40</v>
      </c>
      <c r="G165" s="1" t="s">
        <v>29</v>
      </c>
      <c r="H165" s="1" t="s">
        <v>23</v>
      </c>
      <c r="I165" s="12" t="s">
        <v>24</v>
      </c>
      <c r="J165" s="12" t="s">
        <v>25</v>
      </c>
      <c r="K165" s="11" t="s">
        <v>19</v>
      </c>
      <c r="L165" s="12" t="s">
        <v>26</v>
      </c>
      <c r="M165" s="12" t="s">
        <v>20</v>
      </c>
      <c r="N165" s="12" t="s">
        <v>21</v>
      </c>
      <c r="O165" s="12" t="s">
        <v>22</v>
      </c>
      <c r="P165" s="13" t="s">
        <v>27</v>
      </c>
      <c r="Q165" s="85" t="s">
        <v>42</v>
      </c>
      <c r="R165" s="85"/>
      <c r="S165" s="85"/>
      <c r="T165" s="31" t="s">
        <v>50</v>
      </c>
      <c r="U165" s="35" t="s">
        <v>47</v>
      </c>
      <c r="V165" s="36" t="s">
        <v>264</v>
      </c>
    </row>
    <row r="166" spans="1:22">
      <c r="A166" s="47"/>
      <c r="B166" s="27" t="s">
        <v>30</v>
      </c>
      <c r="C166" s="8"/>
      <c r="D166" s="1" t="str">
        <f>IF(C166,C166+Q160,"")</f>
        <v/>
      </c>
      <c r="E166" s="72" t="str">
        <f>IF(C166,C166/D166,"")</f>
        <v/>
      </c>
      <c r="F166" s="14" t="str">
        <f>IF(AND(C166&lt;&gt;"",N158&lt;&gt;""),(M160/F160*E158+M161/F161*D158)/(C166+Q160),"")</f>
        <v/>
      </c>
      <c r="G166" s="1" t="str">
        <f>IF(C166,IF(AND(F160&lt;&gt;0,C158&lt;&gt;0),M161,M161/F161*D158)/(C166+Q161),"")</f>
        <v/>
      </c>
      <c r="H166" s="1" t="str">
        <f>IF(C166,(M162)/(C166+Q162),"")</f>
        <v/>
      </c>
      <c r="I166" s="1" t="str">
        <f>IF(C166,(M163)/(C166+Q163),"")</f>
        <v/>
      </c>
      <c r="J166" s="1" t="str">
        <f>IF(C166,(M164)/(C166+Q164),"")</f>
        <v/>
      </c>
      <c r="K166" s="14" t="str">
        <f>IF(AND(C166&lt;&gt;"",N158&lt;&gt;""),9.8*N158*LN((C166+Q160)/(C166+R160)),"")</f>
        <v/>
      </c>
      <c r="L166" s="1" t="str">
        <f>IF(C166,9.8*F161*LN((C166+Q161)/(C166+R161)),"")</f>
        <v/>
      </c>
      <c r="M166" s="1" t="str">
        <f>IF(C166,9.8*F162*LN((C166+Q162)/(C166+R162)),"")</f>
        <v/>
      </c>
      <c r="N166" s="1" t="str">
        <f>IF(C166,9.8*F163*LN((C166+Q163)/(C166+R163)),"")</f>
        <v/>
      </c>
      <c r="O166" s="1" t="str">
        <f>IF(C166,9.8*F164*LN((C166+Q164)/(C166+R164)),"")</f>
        <v/>
      </c>
      <c r="P166" s="15" t="str">
        <f>IF(C166,SUM(K166:O166),"")</f>
        <v/>
      </c>
      <c r="Q166" s="1"/>
      <c r="R166" s="1"/>
      <c r="S166" s="1"/>
      <c r="T166" s="32" t="str">
        <f>IF(OR(F166&lt;1,AND(F166="",G166&lt;1)),"起飞推重比不得小于0，空天飞机除外","")</f>
        <v/>
      </c>
      <c r="U166" s="1"/>
      <c r="V166" s="1"/>
    </row>
    <row r="167" spans="1:22">
      <c r="A167" s="33" t="s">
        <v>47</v>
      </c>
      <c r="B167" s="27" t="s">
        <v>31</v>
      </c>
      <c r="C167" s="9"/>
      <c r="D167" s="1" t="str">
        <f>IF(C167,C167+Q160,"")</f>
        <v/>
      </c>
      <c r="E167" s="72" t="str">
        <f t="shared" ref="E167:E168" si="50">IF(C167,C167/D167,"")</f>
        <v/>
      </c>
      <c r="F167" s="14" t="str">
        <f>IF(AND(C167&lt;&gt;"",N158&lt;&gt;""),(M160/F160*E158+M161/F161*D158)/(C167+Q160),"")</f>
        <v/>
      </c>
      <c r="G167" s="1" t="str">
        <f>IF(C167,IF(AND(F160&lt;&gt;0,C158&lt;&gt;0),M161,M161/F161*D158)/(C167+Q161),"")</f>
        <v/>
      </c>
      <c r="H167" s="1" t="str">
        <f>IF(C167,(M162)/(C167+Q162),"")</f>
        <v/>
      </c>
      <c r="I167" s="1" t="str">
        <f>IF(C167,(M163)/(C167+Q163),"")</f>
        <v/>
      </c>
      <c r="J167" s="1" t="str">
        <f>IF(C167,(M164)/(C167+Q164),"")</f>
        <v/>
      </c>
      <c r="K167" s="14" t="str">
        <f>IF(AND(C167&lt;&gt;"",N158&lt;&gt;""),9.8*N158*LN((C167+Q160)/(C167+R160)),"")</f>
        <v/>
      </c>
      <c r="L167" s="1" t="str">
        <f>IF(C167,9.8*F161*LN((C167+Q161)/(C167+R161)),"")</f>
        <v/>
      </c>
      <c r="M167" s="1" t="str">
        <f>IF(C167,9.8*F162*LN((C167+Q162)/(C167+R162)),"")</f>
        <v/>
      </c>
      <c r="N167" s="1" t="str">
        <f>IF(C167,9.8*F163*LN((C167+Q163)/(C167+R163)),"")</f>
        <v/>
      </c>
      <c r="O167" s="1" t="str">
        <f>IF(C167,9.8*F164*LN((C167+Q164)/(C167+R164)),"")</f>
        <v/>
      </c>
      <c r="P167" s="15" t="str">
        <f>IF(C167,SUM(K167:O167),"")</f>
        <v/>
      </c>
      <c r="Q167" s="1"/>
      <c r="R167" s="1"/>
      <c r="S167" s="1"/>
      <c r="T167" s="32" t="str">
        <f t="shared" ref="T167:T169" si="51">IF(OR(F167&lt;1,AND(F167="",G167&lt;1)),"起飞推重比不得小于0，空天飞机除外","")</f>
        <v/>
      </c>
      <c r="U167" s="1"/>
      <c r="V167" s="1"/>
    </row>
    <row r="168" spans="1:22">
      <c r="A168" s="40"/>
      <c r="B168" s="27" t="s">
        <v>36</v>
      </c>
      <c r="C168" s="9"/>
      <c r="D168" s="1" t="str">
        <f>IF(C168,C168+Q160,"")</f>
        <v/>
      </c>
      <c r="E168" s="72" t="str">
        <f t="shared" si="50"/>
        <v/>
      </c>
      <c r="F168" s="14" t="str">
        <f>IF(AND(C168&lt;&gt;"",N158&lt;&gt;""),(M160/F160*E158+M161/F161*D158)/(C168+Q160),"")</f>
        <v/>
      </c>
      <c r="G168" s="1" t="str">
        <f>IF(C168,IF(AND(F160&lt;&gt;0,C158&lt;&gt;0),M161,M161/F161*D158)/(C168+Q161),"")</f>
        <v/>
      </c>
      <c r="H168" s="1" t="str">
        <f>IF(C168,(M162)/(C168+Q162),"")</f>
        <v/>
      </c>
      <c r="I168" s="1" t="str">
        <f>IF(C168,(M163)/(C168+Q163),"")</f>
        <v/>
      </c>
      <c r="J168" s="1" t="str">
        <f>IF(C168,(M164)/(C168+Q164),"")</f>
        <v/>
      </c>
      <c r="K168" s="14" t="str">
        <f>IF(AND(C168&lt;&gt;"",N158&lt;&gt;""),9.8*N158*LN((C168+Q160)/(C168+R160)),"")</f>
        <v/>
      </c>
      <c r="L168" s="1" t="str">
        <f>IF(C168,9.8*F161*LN((C168+Q161)/(C168+R161)),"")</f>
        <v/>
      </c>
      <c r="M168" s="1" t="str">
        <f>IF(C168,9.8*F162*LN((C168+Q162)/(C168+R162)),"")</f>
        <v/>
      </c>
      <c r="N168" s="1" t="str">
        <f>IF(C168,9.8*F163*LN((C168+Q163)/(C168+R163)),"")</f>
        <v/>
      </c>
      <c r="O168" s="1" t="str">
        <f>IF(C168,9.8*F164*LN((C168+Q164)/(C168+R164)),"")</f>
        <v/>
      </c>
      <c r="P168" s="15" t="str">
        <f>IF(C168,SUM(K168:O168),"")</f>
        <v/>
      </c>
      <c r="Q168" s="1"/>
      <c r="R168" s="1"/>
      <c r="S168" s="1"/>
      <c r="T168" s="32" t="str">
        <f t="shared" si="51"/>
        <v/>
      </c>
      <c r="U168" s="1"/>
      <c r="V168" s="1"/>
    </row>
    <row r="169" spans="1:22" ht="15" thickBot="1">
      <c r="A169" s="47"/>
      <c r="B169" s="28" t="s">
        <v>5</v>
      </c>
      <c r="C169" s="83">
        <v>7.8</v>
      </c>
      <c r="D169" s="1">
        <f>IF(C169,C169+Q160,"")</f>
        <v>478.7</v>
      </c>
      <c r="E169" s="72">
        <f>IF(C169,C169/D169,"")</f>
        <v>1.6294129935241278E-2</v>
      </c>
      <c r="F169" s="14" t="str">
        <f>IF(AND(C169&lt;&gt;"",N158&lt;&gt;""),(M160/F160*E158+M161/F161*D158)/(C169+Q160),"")</f>
        <v/>
      </c>
      <c r="G169" s="1">
        <f>IF(C169,IF(AND(F160&lt;&gt;0,C158&lt;&gt;0),M161,M161/F161*D158)/(C169+Q161),"")</f>
        <v>1.1698349697096302</v>
      </c>
      <c r="H169" s="1">
        <f>IF(C169,(M162)/(C169+Q162),"")</f>
        <v>1.2063532081179882</v>
      </c>
      <c r="I169" s="1">
        <f>IF(C169,(M163)/(C169+Q163),"")</f>
        <v>0</v>
      </c>
      <c r="J169" s="1">
        <f>IF(C169,(M164)/(C169+Q164),"")</f>
        <v>0</v>
      </c>
      <c r="K169" s="14" t="str">
        <f>IF(AND(C169&lt;&gt;"",N158&lt;&gt;""),9.8*N158*LN((C169+Q160)/(C169+R160)),"")</f>
        <v/>
      </c>
      <c r="L169" s="1">
        <f>IF(C169,9.8*F161*LN((C169+Q161)/(C169+R161)),"")</f>
        <v>4466.2619232094548</v>
      </c>
      <c r="M169" s="1">
        <f>IF(C169,9.8*F162*LN((C169+Q162)/(C169+R162)),"")</f>
        <v>5960.8429425039694</v>
      </c>
      <c r="N169" s="1">
        <f>IF(C169,9.8*F163*LN((C169+Q163)/(C169+R163)),"")</f>
        <v>0</v>
      </c>
      <c r="O169" s="1">
        <f>IF(C169,9.8*F164*LN((C169+Q164)/(C169+R164)),"")</f>
        <v>0</v>
      </c>
      <c r="P169" s="15">
        <f>IF(C169,SUM(K169:O169),"")</f>
        <v>10427.104865713423</v>
      </c>
      <c r="Q169" s="17" t="s">
        <v>627</v>
      </c>
      <c r="R169" s="17"/>
      <c r="S169" s="17"/>
      <c r="T169" s="32" t="str">
        <f t="shared" si="51"/>
        <v/>
      </c>
      <c r="U169" s="1"/>
      <c r="V169" s="1"/>
    </row>
    <row r="170" spans="1:22" ht="15" thickBot="1">
      <c r="A170" s="33" t="s">
        <v>45</v>
      </c>
      <c r="B170" s="26" t="s">
        <v>37</v>
      </c>
      <c r="C170" s="1" t="s">
        <v>54</v>
      </c>
      <c r="D170" s="12" t="s">
        <v>28</v>
      </c>
      <c r="E170" s="12" t="s">
        <v>266</v>
      </c>
      <c r="F170" s="11" t="s">
        <v>40</v>
      </c>
      <c r="G170" s="12" t="s">
        <v>29</v>
      </c>
      <c r="H170" s="12" t="s">
        <v>23</v>
      </c>
      <c r="I170" s="12" t="s">
        <v>24</v>
      </c>
      <c r="J170" s="12" t="s">
        <v>25</v>
      </c>
      <c r="K170" s="11" t="s">
        <v>19</v>
      </c>
      <c r="L170" s="12" t="s">
        <v>26</v>
      </c>
      <c r="M170" s="12" t="s">
        <v>20</v>
      </c>
      <c r="N170" s="12" t="s">
        <v>21</v>
      </c>
      <c r="O170" s="12" t="s">
        <v>22</v>
      </c>
      <c r="P170" s="13" t="s">
        <v>27</v>
      </c>
      <c r="Q170" s="85" t="s">
        <v>42</v>
      </c>
      <c r="R170" s="85"/>
      <c r="S170" s="85"/>
      <c r="T170" s="12" t="s">
        <v>51</v>
      </c>
      <c r="U170" s="37" t="s">
        <v>45</v>
      </c>
      <c r="V170" s="38" t="s">
        <v>48</v>
      </c>
    </row>
    <row r="171" spans="1:22">
      <c r="A171" s="40"/>
      <c r="B171" s="27" t="s">
        <v>30</v>
      </c>
      <c r="C171" s="8"/>
      <c r="D171" s="1" t="str">
        <f>IF(C171,C171+Q160,"")</f>
        <v/>
      </c>
      <c r="E171" s="72" t="str">
        <f>IF(C171,C171/D171,"")</f>
        <v/>
      </c>
      <c r="F171" s="14" t="str">
        <f>IF(AND(C171&lt;&gt;"",N158&lt;&gt;""),(M160/F160*E158+M161/F161*D158)/(C171+U160),"")</f>
        <v/>
      </c>
      <c r="G171" s="1" t="str">
        <f>IF(C171,IF(AND(F160&lt;&gt;0,C158&lt;&gt;0),M161,M161/F161*D158)/(C171+U161),"")</f>
        <v/>
      </c>
      <c r="H171" s="1" t="str">
        <f>IF(C171,(M162)/(C171+U162),"")</f>
        <v/>
      </c>
      <c r="I171" s="1" t="str">
        <f>IF(C171,(M163)/(C171+U163),"")</f>
        <v/>
      </c>
      <c r="J171" s="1" t="str">
        <f>IF(C171,(M164)/(C171+U164),"")</f>
        <v/>
      </c>
      <c r="K171" s="14" t="str">
        <f>IF(AND(C171&lt;&gt;"",N158&lt;&gt;""),9.8*N158*LN((C171+U160)/(C171+V160)),"")</f>
        <v/>
      </c>
      <c r="L171" s="1" t="str">
        <f>IF(C171,9.8*F161*LN((C171+U161)/(C171+V161)),"")</f>
        <v/>
      </c>
      <c r="M171" s="1" t="str">
        <f>IF(C171,9.8*F162*LN((C171+U162)/(C171+V162)),"")</f>
        <v/>
      </c>
      <c r="N171" s="1" t="str">
        <f>IF(C171,9.8*F163*LN((C171+U163)/(C171+V163)),"")</f>
        <v/>
      </c>
      <c r="O171" s="1" t="str">
        <f>IF(C171,9.8*F164*LN((C171+U164)/(C171+V164)),"")</f>
        <v/>
      </c>
      <c r="P171" s="15" t="str">
        <f>IF(C171,SUM(K171:O171),"")</f>
        <v/>
      </c>
      <c r="Q171" s="1"/>
      <c r="R171" s="1"/>
      <c r="S171" s="1"/>
      <c r="T171" s="32" t="str">
        <f>IF(OR(F171&lt;1,AND(F171="",G171&lt;1)),"起飞推重比不得小于0，空天飞机除外","")</f>
        <v/>
      </c>
      <c r="U171" s="1"/>
      <c r="V171" s="1"/>
    </row>
    <row r="172" spans="1:22">
      <c r="A172" s="47"/>
      <c r="B172" s="27" t="s">
        <v>31</v>
      </c>
      <c r="C172" s="9"/>
      <c r="D172" s="1" t="str">
        <f>IF(C172,C172+Q160,"")</f>
        <v/>
      </c>
      <c r="E172" s="72" t="str">
        <f t="shared" ref="E172:E174" si="52">IF(C172,C172/D172,"")</f>
        <v/>
      </c>
      <c r="F172" s="14" t="str">
        <f>IF(AND(C172&lt;&gt;"",N158&lt;&gt;""),(M160/F160*E158+M161/F161*D158)/(C172+U160),"")</f>
        <v/>
      </c>
      <c r="G172" s="1" t="str">
        <f>IF(C172,IF(AND(F160&lt;&gt;0,C158&lt;&gt;0),M161,M161/F161*D158)/(C172+U161),"")</f>
        <v/>
      </c>
      <c r="H172" s="1" t="str">
        <f>IF(C172,(M162)/(C172+U162),"")</f>
        <v/>
      </c>
      <c r="I172" s="1" t="str">
        <f>IF(C172,(M163)/(C172+U163),"")</f>
        <v/>
      </c>
      <c r="J172" s="1" t="str">
        <f>IF(C172,(M164)/(C172+U164),"")</f>
        <v/>
      </c>
      <c r="K172" s="14" t="str">
        <f>IF(AND(C172&lt;&gt;"",N158&lt;&gt;""),9.8*N158*LN((C172+U160)/(C172+V160)),"")</f>
        <v/>
      </c>
      <c r="L172" s="1" t="str">
        <f>IF(C172,9.8*F161*LN((C172+U161)/(C172+V161)),"")</f>
        <v/>
      </c>
      <c r="M172" s="1" t="str">
        <f>IF(C172,9.8*F162*LN((C172+U162)/(C172+V162)),"")</f>
        <v/>
      </c>
      <c r="N172" s="1" t="str">
        <f>IF(C172,9.8*F163*LN((C172+U163)/(C172+V163)),"")</f>
        <v/>
      </c>
      <c r="O172" s="1" t="str">
        <f>IF(C172,9.8*F164*LN((C172+U164)/(C172+V164)),"")</f>
        <v/>
      </c>
      <c r="P172" s="15" t="str">
        <f>IF(C172,SUM(K172:O172),"")</f>
        <v/>
      </c>
      <c r="Q172" s="1"/>
      <c r="R172" s="1"/>
      <c r="S172" s="1"/>
      <c r="T172" s="32" t="str">
        <f t="shared" ref="T172:T174" si="53">IF(OR(F172&lt;1,AND(F172="",G172&lt;1)),"起飞推重比不得小于0，空天飞机除外","")</f>
        <v/>
      </c>
      <c r="U172" s="1"/>
      <c r="V172" s="1"/>
    </row>
    <row r="173" spans="1:22">
      <c r="A173" s="47"/>
      <c r="B173" s="27" t="s">
        <v>32</v>
      </c>
      <c r="C173" s="9"/>
      <c r="D173" s="1" t="str">
        <f>IF(C173,C173+Q160,"")</f>
        <v/>
      </c>
      <c r="E173" s="72" t="str">
        <f t="shared" si="52"/>
        <v/>
      </c>
      <c r="F173" s="14" t="str">
        <f>IF(AND(C173&lt;&gt;"",N158&lt;&gt;""),(M160/F160*E158+M161/F161*D158)/(C173+U160),"")</f>
        <v/>
      </c>
      <c r="G173" s="1" t="str">
        <f>IF(C173,IF(AND(F160&lt;&gt;0,C158&lt;&gt;0),M161,M161/F161*D158)/(C173+U161),"")</f>
        <v/>
      </c>
      <c r="H173" s="1" t="str">
        <f>IF(C173,(M162)/(C173+U162),"")</f>
        <v/>
      </c>
      <c r="I173" s="1" t="str">
        <f>IF(C173,(M163)/(C173+U163),"")</f>
        <v/>
      </c>
      <c r="J173" s="1" t="str">
        <f>IF(C173,(M164)/(C173+U164),"")</f>
        <v/>
      </c>
      <c r="K173" s="14" t="str">
        <f>IF(AND(C173&lt;&gt;"",N158&lt;&gt;""),9.8*N158*LN((C173+U160)/(C173+V160)),"")</f>
        <v/>
      </c>
      <c r="L173" s="1" t="str">
        <f>IF(C173,9.8*F161*LN((C173+U161)/(C173+V161)),"")</f>
        <v/>
      </c>
      <c r="M173" s="1" t="str">
        <f>IF(C173,9.8*F162*LN((C173+U162)/(C173+V162)),"")</f>
        <v/>
      </c>
      <c r="N173" s="1" t="str">
        <f>IF(C173,9.8*F163*LN((C173+U163)/(C173+V163)),"")</f>
        <v/>
      </c>
      <c r="O173" s="1" t="str">
        <f>IF(C173,9.8*F164*LN((C173+U164)/(C173+V164)),"")</f>
        <v/>
      </c>
      <c r="P173" s="15" t="str">
        <f>IF(C173,SUM(K173:O173),"")</f>
        <v/>
      </c>
      <c r="Q173" s="1" t="s">
        <v>629</v>
      </c>
      <c r="R173" s="1"/>
      <c r="S173" s="1"/>
      <c r="T173" s="32" t="str">
        <f t="shared" si="53"/>
        <v/>
      </c>
      <c r="U173" s="1"/>
      <c r="V173" s="1"/>
    </row>
    <row r="174" spans="1:22" ht="15" thickBot="1">
      <c r="A174" s="48" t="s">
        <v>46</v>
      </c>
      <c r="B174" s="49" t="s">
        <v>33</v>
      </c>
      <c r="C174" s="82">
        <v>6.1</v>
      </c>
      <c r="D174" s="25">
        <f>IF(C174,C174+Q160,"")</f>
        <v>477</v>
      </c>
      <c r="E174" s="73">
        <f t="shared" si="52"/>
        <v>1.2788259958071278E-2</v>
      </c>
      <c r="F174" s="70" t="str">
        <f>IF(AND(C174&lt;&gt;"",N158&lt;&gt;""),(M160/F160*E158+M161/F161*D158)/(C174+U160),"")</f>
        <v/>
      </c>
      <c r="G174" s="25">
        <f>IF(C174,IF(AND(F160&lt;&gt;0,C158&lt;&gt;0),M161,M161/F161*D158)/(C174+U161),"")</f>
        <v>1.1740041928721174</v>
      </c>
      <c r="H174" s="25">
        <f>IF(C174,(M162)/(C174+U162),"")</f>
        <v>1.2327708360170038</v>
      </c>
      <c r="I174" s="25">
        <f>IF(C174,(M163)/(C174+U163),"")</f>
        <v>0</v>
      </c>
      <c r="J174" s="25">
        <f>IF(C174,(M164)/(C174+U164),"")</f>
        <v>0</v>
      </c>
      <c r="K174" s="70" t="str">
        <f>IF(AND(C174&lt;&gt;"",N158&lt;&gt;""),9.8*N158*LN((C174+U160)/(C174+V160)),"")</f>
        <v/>
      </c>
      <c r="L174" s="25">
        <f>IF(C174,9.8*F161*LN((C174+U161)/(C174+V161)),"")</f>
        <v>4061.0061734783485</v>
      </c>
      <c r="M174" s="25">
        <f>IF(C174,9.8*F162*LN((C174+U162)/(C174+V162)),"")</f>
        <v>6353.2991377636235</v>
      </c>
      <c r="N174" s="25">
        <f>IF(C174,9.8*F163*LN((C174+U163)/(C174+V163)),"")</f>
        <v>0</v>
      </c>
      <c r="O174" s="25">
        <f>IF(C174,9.8*F164*LN((C174+U164)/(C174+V164)),"")</f>
        <v>0</v>
      </c>
      <c r="P174" s="71">
        <f>IF(C174,SUM(K174:O174),"")</f>
        <v>10414.305311241973</v>
      </c>
      <c r="Q174" s="25" t="s">
        <v>628</v>
      </c>
      <c r="R174" s="25"/>
      <c r="S174" s="25"/>
      <c r="T174" s="51" t="str">
        <f t="shared" si="53"/>
        <v/>
      </c>
      <c r="U174" s="25"/>
      <c r="V174" s="25"/>
    </row>
    <row r="175" spans="1:22" ht="15" thickBot="1">
      <c r="A175" s="33"/>
      <c r="B175" s="27"/>
      <c r="C175" s="1"/>
      <c r="D175" s="1"/>
      <c r="E175" s="7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32"/>
      <c r="U175" s="1"/>
      <c r="V175" s="1"/>
    </row>
    <row r="176" spans="1:22" ht="15" thickBot="1">
      <c r="A176" s="52" t="s">
        <v>613</v>
      </c>
      <c r="B176" s="52"/>
      <c r="C176" s="29" t="s">
        <v>0</v>
      </c>
      <c r="D176" s="90" t="s">
        <v>41</v>
      </c>
      <c r="E176" s="90"/>
      <c r="F176" s="43"/>
      <c r="G176" s="43"/>
      <c r="H176" s="43"/>
      <c r="I176" s="86" t="s">
        <v>42</v>
      </c>
      <c r="J176" s="86"/>
      <c r="K176" s="86"/>
      <c r="L176" s="54" t="s">
        <v>70</v>
      </c>
      <c r="M176" s="86" t="s">
        <v>71</v>
      </c>
      <c r="N176" s="86"/>
      <c r="O176" s="87"/>
      <c r="P176" s="29" t="s">
        <v>49</v>
      </c>
      <c r="Q176" s="34" t="str">
        <f>IF(OR(P180&lt;P179,T180&lt;T179),"芯级燃烧时间不得小于助推燃烧时间！","")</f>
        <v/>
      </c>
      <c r="R176" s="44"/>
      <c r="S176" s="45"/>
      <c r="T176" s="29"/>
      <c r="U176" s="46" t="s">
        <v>45</v>
      </c>
      <c r="V176" s="46" t="s">
        <v>48</v>
      </c>
    </row>
    <row r="177" spans="1:22" ht="15" thickBot="1">
      <c r="A177" s="40" t="s">
        <v>615</v>
      </c>
      <c r="B177" s="39"/>
      <c r="C177" s="2">
        <v>2</v>
      </c>
      <c r="D177" s="2">
        <v>280</v>
      </c>
      <c r="E177" s="2">
        <v>280</v>
      </c>
      <c r="F177" s="41"/>
      <c r="G177" s="42"/>
      <c r="H177" s="42"/>
      <c r="I177" s="24" t="s">
        <v>620</v>
      </c>
      <c r="J177" s="24"/>
      <c r="K177" s="24"/>
      <c r="L177" s="55">
        <f>IFERROR(IF(AND(F179&lt;&gt;0,C177&lt;&gt;0),M179/F179*E177+M180/F180*D177,M180/F180*D177),0)</f>
        <v>1680</v>
      </c>
      <c r="M177" s="53" t="s">
        <v>45</v>
      </c>
      <c r="N177" s="17">
        <f>IF(AND(F179&lt;&gt;0,C177&lt;&gt;0),(M179+M180)/(M179/F179+M180/F180),"")</f>
        <v>310</v>
      </c>
      <c r="O177" s="56" t="s">
        <v>46</v>
      </c>
      <c r="P177" s="89" t="s">
        <v>17</v>
      </c>
      <c r="Q177" s="89"/>
      <c r="R177" s="91"/>
      <c r="S177" s="88" t="s">
        <v>18</v>
      </c>
      <c r="T177" s="89"/>
      <c r="U177" s="89"/>
      <c r="V177" s="89"/>
    </row>
    <row r="178" spans="1:22" ht="15" thickBot="1">
      <c r="A178" s="33" t="s">
        <v>45</v>
      </c>
      <c r="B178" s="26" t="s">
        <v>39</v>
      </c>
      <c r="C178" s="1" t="s">
        <v>1</v>
      </c>
      <c r="D178" s="1" t="s">
        <v>2</v>
      </c>
      <c r="E178" s="1" t="s">
        <v>7</v>
      </c>
      <c r="F178" s="1" t="s">
        <v>8</v>
      </c>
      <c r="G178" s="1" t="s">
        <v>43</v>
      </c>
      <c r="H178" s="1" t="s">
        <v>44</v>
      </c>
      <c r="I178" s="60" t="s">
        <v>624</v>
      </c>
      <c r="J178" s="24"/>
      <c r="K178" s="24"/>
      <c r="L178" s="11" t="s">
        <v>6</v>
      </c>
      <c r="M178" s="12" t="s">
        <v>69</v>
      </c>
      <c r="N178" s="12" t="s">
        <v>15</v>
      </c>
      <c r="O178" s="13" t="s">
        <v>14</v>
      </c>
      <c r="P178" s="14" t="s">
        <v>12</v>
      </c>
      <c r="Q178" s="1" t="s">
        <v>10</v>
      </c>
      <c r="R178" s="15" t="s">
        <v>11</v>
      </c>
      <c r="S178" s="14" t="s">
        <v>13</v>
      </c>
      <c r="T178" s="1" t="s">
        <v>16</v>
      </c>
      <c r="U178" s="1" t="s">
        <v>10</v>
      </c>
      <c r="V178" s="1" t="s">
        <v>11</v>
      </c>
    </row>
    <row r="179" spans="1:22">
      <c r="A179" s="40"/>
      <c r="B179" s="27" t="s">
        <v>3</v>
      </c>
      <c r="C179" s="3">
        <v>399.37</v>
      </c>
      <c r="D179" s="4">
        <v>13</v>
      </c>
      <c r="E179" s="4">
        <v>620</v>
      </c>
      <c r="F179" s="4">
        <v>310</v>
      </c>
      <c r="G179" s="19"/>
      <c r="H179" s="84">
        <v>7.3999999999999996E-2</v>
      </c>
      <c r="I179" s="30" t="s">
        <v>645</v>
      </c>
      <c r="J179" s="24"/>
      <c r="K179" s="24"/>
      <c r="L179" s="14">
        <f>C179*C177</f>
        <v>798.74</v>
      </c>
      <c r="M179" s="1">
        <f>E179*C177</f>
        <v>1240</v>
      </c>
      <c r="N179" s="1">
        <f>IF(D179,L179/D179,0)</f>
        <v>61.441538461538464</v>
      </c>
      <c r="O179" s="15">
        <f>L179-N179</f>
        <v>737.29846153846154</v>
      </c>
      <c r="P179" s="14">
        <f>IF(AND(F179&lt;&gt;0,C177&lt;&gt;0),O179/M179*F179/IF(G179,G179,1),0)</f>
        <v>184.32461538461538</v>
      </c>
      <c r="Q179" s="1">
        <f>SUM(L179:L183)</f>
        <v>1269.6400000000001</v>
      </c>
      <c r="R179" s="15">
        <f>N179+Q180</f>
        <v>200.55723076923073</v>
      </c>
      <c r="S179" s="14">
        <f>N179+H179*O179</f>
        <v>116.00162461538461</v>
      </c>
      <c r="T179" s="1">
        <f>IF(AND(F179&lt;&gt;0,C177&lt;&gt;0),(1-H179)*O179/M179*F179/IF(G179,G179,1),0)</f>
        <v>170.68459384615386</v>
      </c>
      <c r="U179" s="1">
        <f>SUM(L179:L183)</f>
        <v>1269.6400000000001</v>
      </c>
      <c r="V179" s="1">
        <f>S179+U180</f>
        <v>279.66935569230765</v>
      </c>
    </row>
    <row r="180" spans="1:22">
      <c r="A180" s="47"/>
      <c r="B180" s="27">
        <v>1</v>
      </c>
      <c r="C180" s="5">
        <v>399.37</v>
      </c>
      <c r="D180" s="1">
        <v>13</v>
      </c>
      <c r="E180" s="1">
        <v>620</v>
      </c>
      <c r="F180" s="1">
        <v>310</v>
      </c>
      <c r="G180" s="5">
        <v>0.9</v>
      </c>
      <c r="H180" s="81">
        <v>0.10199999999999999</v>
      </c>
      <c r="I180" s="30" t="s">
        <v>646</v>
      </c>
      <c r="J180" s="30"/>
      <c r="K180" s="30"/>
      <c r="L180" s="14">
        <f>C180</f>
        <v>399.37</v>
      </c>
      <c r="M180" s="1">
        <f>E180</f>
        <v>620</v>
      </c>
      <c r="N180" s="1">
        <f>IF(D180,L180/D180,0)</f>
        <v>30.720769230769232</v>
      </c>
      <c r="O180" s="15">
        <f>L180-N180</f>
        <v>368.64923076923077</v>
      </c>
      <c r="P180" s="14">
        <f t="shared" ref="P180:P183" si="54">IF(F180,O180/M180*F180/IF(G180,G180,1),0)</f>
        <v>204.8051282051282</v>
      </c>
      <c r="Q180" s="1">
        <f>IF(F180,SUM(L180:L183)-P179*M180/F180*IF(G180,G180,1),0)</f>
        <v>139.11569230769226</v>
      </c>
      <c r="R180" s="15">
        <f>N180+Q181</f>
        <v>102.25076923076924</v>
      </c>
      <c r="S180" s="14">
        <f>N180+H180*O180</f>
        <v>68.322990769230771</v>
      </c>
      <c r="T180" s="1">
        <f>IF(F180,(1-H180)*O180/M180*F180/IF(G180,G180,1),0)</f>
        <v>183.91500512820511</v>
      </c>
      <c r="U180" s="1">
        <f>IF(F180,SUM(L180:L183)-T179*M180/F180*IF(G180,G180,1),0)</f>
        <v>163.66773107692302</v>
      </c>
      <c r="V180" s="1">
        <f>S180+U181</f>
        <v>139.85299076923076</v>
      </c>
    </row>
    <row r="181" spans="1:22">
      <c r="A181" s="47"/>
      <c r="B181" s="27">
        <v>2</v>
      </c>
      <c r="C181" s="5">
        <v>71.53</v>
      </c>
      <c r="D181" s="1">
        <v>14</v>
      </c>
      <c r="E181" s="1">
        <v>95.7</v>
      </c>
      <c r="F181" s="1">
        <v>335</v>
      </c>
      <c r="G181" s="5"/>
      <c r="H181" s="21"/>
      <c r="I181" s="30" t="s">
        <v>622</v>
      </c>
      <c r="J181" s="30"/>
      <c r="K181" s="30"/>
      <c r="L181" s="14">
        <f>C181</f>
        <v>71.53</v>
      </c>
      <c r="M181" s="1">
        <f>E181</f>
        <v>95.7</v>
      </c>
      <c r="N181" s="1">
        <f>IF(D181,L181/D181,0)</f>
        <v>5.109285714285714</v>
      </c>
      <c r="O181" s="15">
        <f>L181-N181</f>
        <v>66.420714285714283</v>
      </c>
      <c r="P181" s="14">
        <f t="shared" si="54"/>
        <v>232.50720256754738</v>
      </c>
      <c r="Q181" s="1">
        <f>SUM(L181:L183)</f>
        <v>71.53</v>
      </c>
      <c r="R181" s="15">
        <f>N181+Q182</f>
        <v>5.109285714285714</v>
      </c>
      <c r="S181" s="14">
        <f>N181+H181*O181</f>
        <v>5.109285714285714</v>
      </c>
      <c r="T181" s="1">
        <f t="shared" ref="T181:T183" si="55">IF(F181,(1-H181)*O181/M181*F181/IF(G181,G181,1),0)</f>
        <v>232.50720256754738</v>
      </c>
      <c r="U181" s="1">
        <f>SUM(L181:L183)</f>
        <v>71.53</v>
      </c>
      <c r="V181" s="1">
        <f>S181+U182</f>
        <v>5.109285714285714</v>
      </c>
    </row>
    <row r="182" spans="1:22">
      <c r="A182" s="33" t="s">
        <v>45</v>
      </c>
      <c r="B182" s="27">
        <v>3</v>
      </c>
      <c r="C182" s="5"/>
      <c r="D182" s="1"/>
      <c r="E182" s="1"/>
      <c r="F182" s="1"/>
      <c r="G182" s="5"/>
      <c r="H182" s="21"/>
      <c r="I182" s="30"/>
      <c r="J182" s="30"/>
      <c r="K182" s="30"/>
      <c r="L182" s="14">
        <f>C182</f>
        <v>0</v>
      </c>
      <c r="M182" s="1">
        <f>E182</f>
        <v>0</v>
      </c>
      <c r="N182" s="1">
        <f>IF(D182,L182/D182,0)</f>
        <v>0</v>
      </c>
      <c r="O182" s="15">
        <f>L182-N182</f>
        <v>0</v>
      </c>
      <c r="P182" s="14">
        <f t="shared" si="54"/>
        <v>0</v>
      </c>
      <c r="Q182" s="1">
        <f>SUM(L182:L183)</f>
        <v>0</v>
      </c>
      <c r="R182" s="15">
        <f>N182+Q183</f>
        <v>0</v>
      </c>
      <c r="S182" s="14">
        <f>N182+H182*O182</f>
        <v>0</v>
      </c>
      <c r="T182" s="1">
        <f t="shared" si="55"/>
        <v>0</v>
      </c>
      <c r="U182" s="1">
        <f>SUM(L182:L183)</f>
        <v>0</v>
      </c>
      <c r="V182" s="1">
        <f>S182+U183</f>
        <v>0</v>
      </c>
    </row>
    <row r="183" spans="1:22" ht="15" thickBot="1">
      <c r="A183" s="40"/>
      <c r="B183" s="28">
        <v>4</v>
      </c>
      <c r="C183" s="6"/>
      <c r="D183" s="7"/>
      <c r="E183" s="7"/>
      <c r="F183" s="7"/>
      <c r="G183" s="22"/>
      <c r="H183" s="23"/>
      <c r="I183" s="24"/>
      <c r="J183" s="24"/>
      <c r="K183" s="24"/>
      <c r="L183" s="16">
        <f>C183</f>
        <v>0</v>
      </c>
      <c r="M183" s="17">
        <f>E183</f>
        <v>0</v>
      </c>
      <c r="N183" s="17">
        <f>IF(D183,L183/D183,0)</f>
        <v>0</v>
      </c>
      <c r="O183" s="18">
        <f>L183-N183</f>
        <v>0</v>
      </c>
      <c r="P183" s="14">
        <f t="shared" si="54"/>
        <v>0</v>
      </c>
      <c r="Q183" s="17">
        <f>SUM(L183:L183)</f>
        <v>0</v>
      </c>
      <c r="R183" s="18">
        <f>N183</f>
        <v>0</v>
      </c>
      <c r="S183" s="16">
        <f>N183+H183*O183</f>
        <v>0</v>
      </c>
      <c r="T183" s="17">
        <f t="shared" si="55"/>
        <v>0</v>
      </c>
      <c r="U183" s="17">
        <f>SUM(L183:L183)</f>
        <v>0</v>
      </c>
      <c r="V183" s="17">
        <f>S183</f>
        <v>0</v>
      </c>
    </row>
    <row r="184" spans="1:22" ht="15" thickBot="1">
      <c r="A184" s="47"/>
      <c r="B184" s="26" t="s">
        <v>38</v>
      </c>
      <c r="C184" s="1" t="s">
        <v>4</v>
      </c>
      <c r="D184" s="1" t="s">
        <v>28</v>
      </c>
      <c r="E184" s="1" t="s">
        <v>265</v>
      </c>
      <c r="F184" s="69" t="s">
        <v>40</v>
      </c>
      <c r="G184" s="1" t="s">
        <v>29</v>
      </c>
      <c r="H184" s="1" t="s">
        <v>23</v>
      </c>
      <c r="I184" s="12" t="s">
        <v>24</v>
      </c>
      <c r="J184" s="12" t="s">
        <v>25</v>
      </c>
      <c r="K184" s="11" t="s">
        <v>19</v>
      </c>
      <c r="L184" s="12" t="s">
        <v>26</v>
      </c>
      <c r="M184" s="12" t="s">
        <v>20</v>
      </c>
      <c r="N184" s="12" t="s">
        <v>21</v>
      </c>
      <c r="O184" s="12" t="s">
        <v>22</v>
      </c>
      <c r="P184" s="13" t="s">
        <v>27</v>
      </c>
      <c r="Q184" s="85" t="s">
        <v>42</v>
      </c>
      <c r="R184" s="85"/>
      <c r="S184" s="85"/>
      <c r="T184" s="31" t="s">
        <v>50</v>
      </c>
      <c r="U184" s="35" t="s">
        <v>47</v>
      </c>
      <c r="V184" s="36" t="s">
        <v>264</v>
      </c>
    </row>
    <row r="185" spans="1:22">
      <c r="A185" s="47"/>
      <c r="B185" s="27" t="s">
        <v>635</v>
      </c>
      <c r="C185" s="78">
        <v>13.8</v>
      </c>
      <c r="D185" s="1">
        <f>IF(C185,C185+Q179,"")</f>
        <v>1283.44</v>
      </c>
      <c r="E185" s="72">
        <f>IF(C185,C185/D185,"")</f>
        <v>1.0752353051174968E-2</v>
      </c>
      <c r="F185" s="14">
        <f>IF(AND(C185&lt;&gt;"",N177&lt;&gt;""),(M179/F179*E177+M180/F180*D177)/(C185+Q179),"")</f>
        <v>1.3089821105778221</v>
      </c>
      <c r="G185" s="1">
        <f>IF(C185,IF(AND(F179&lt;&gt;0,C177&lt;&gt;0),M180,M180/F180*D177)/(C185+Q180),"")</f>
        <v>4.0545217475290567</v>
      </c>
      <c r="H185" s="1">
        <f>IF(C185,(M181)/(C185+Q181),"")</f>
        <v>1.1215281846947147</v>
      </c>
      <c r="I185" s="1">
        <f>IF(C185,(M182)/(C185+Q182),"")</f>
        <v>0</v>
      </c>
      <c r="J185" s="1">
        <f>IF(C185,(M183)/(C185+Q183),"")</f>
        <v>0</v>
      </c>
      <c r="K185" s="14">
        <f>IF(AND(C185&lt;&gt;"",N177&lt;&gt;""),9.8*N177*LN((C185+Q179)/(C185+R179)),"")</f>
        <v>5436.9728806860048</v>
      </c>
      <c r="L185" s="1">
        <f>IF(C185,9.8*F180*LN((C185+Q180)/(C185+R180)),"")</f>
        <v>838.05957428127692</v>
      </c>
      <c r="M185" s="1">
        <f>IF(C185,9.8*F181*LN((C185+Q181)/(C185+R181)),"")</f>
        <v>4947.0640048331634</v>
      </c>
      <c r="N185" s="1">
        <f>IF(C185,9.8*F182*LN((C185+Q182)/(C185+R182)),"")</f>
        <v>0</v>
      </c>
      <c r="O185" s="1">
        <f>IF(C185,9.8*F183*LN((C185+Q183)/(C185+R183)),"")</f>
        <v>0</v>
      </c>
      <c r="P185" s="15">
        <f>IF(C185,SUM(K185:O185),"")</f>
        <v>11222.096459800445</v>
      </c>
      <c r="Q185" s="1" t="s">
        <v>631</v>
      </c>
      <c r="R185" s="1"/>
      <c r="S185" s="1"/>
      <c r="T185" s="32" t="str">
        <f>IF(OR(F185&lt;1,AND(F185="",G185&lt;1)),"起飞推重比不得小于0，空天飞机除外","")</f>
        <v/>
      </c>
      <c r="U185" s="1"/>
      <c r="V185" s="1"/>
    </row>
    <row r="186" spans="1:22">
      <c r="A186" s="33" t="s">
        <v>47</v>
      </c>
      <c r="B186" s="27" t="s">
        <v>31</v>
      </c>
      <c r="C186" s="9"/>
      <c r="D186" s="1" t="str">
        <f>IF(C186,C186+Q179,"")</f>
        <v/>
      </c>
      <c r="E186" s="72" t="str">
        <f t="shared" ref="E186:E188" si="56">IF(C186,C186/D186,"")</f>
        <v/>
      </c>
      <c r="F186" s="14" t="str">
        <f>IF(AND(C186&lt;&gt;"",N177&lt;&gt;""),(M179/F179*E177+M180/F180*D177)/(C186+Q179),"")</f>
        <v/>
      </c>
      <c r="G186" s="1" t="str">
        <f>IF(C186,IF(AND(F179&lt;&gt;0,C177&lt;&gt;0),M180,M180/F180*D177)/(C186+Q180),"")</f>
        <v/>
      </c>
      <c r="H186" s="1" t="str">
        <f>IF(C186,(M181)/(C186+Q181),"")</f>
        <v/>
      </c>
      <c r="I186" s="1" t="str">
        <f>IF(C186,(M182)/(C186+Q182),"")</f>
        <v/>
      </c>
      <c r="J186" s="1" t="str">
        <f>IF(C186,(M183)/(C186+Q183),"")</f>
        <v/>
      </c>
      <c r="K186" s="14" t="str">
        <f>IF(AND(C186&lt;&gt;"",N177&lt;&gt;""),9.8*N177*LN((C186+Q179)/(C186+R179)),"")</f>
        <v/>
      </c>
      <c r="L186" s="1" t="str">
        <f>IF(C186,9.8*F180*LN((C186+Q180)/(C186+R180)),"")</f>
        <v/>
      </c>
      <c r="M186" s="1" t="str">
        <f>IF(C186,9.8*F181*LN((C186+Q181)/(C186+R181)),"")</f>
        <v/>
      </c>
      <c r="N186" s="1" t="str">
        <f>IF(C186,9.8*F182*LN((C186+Q182)/(C186+R182)),"")</f>
        <v/>
      </c>
      <c r="O186" s="1" t="str">
        <f>IF(C186,9.8*F183*LN((C186+Q183)/(C186+R183)),"")</f>
        <v/>
      </c>
      <c r="P186" s="15" t="str">
        <f>IF(C186,SUM(K186:O186),"")</f>
        <v/>
      </c>
      <c r="Q186" s="1" t="s">
        <v>634</v>
      </c>
      <c r="R186" s="1"/>
      <c r="S186" s="1"/>
      <c r="T186" s="32" t="str">
        <f t="shared" ref="T186:T188" si="57">IF(OR(F186&lt;1,AND(F186="",G186&lt;1)),"起飞推重比不得小于0，空天飞机除外","")</f>
        <v/>
      </c>
      <c r="U186" s="1"/>
      <c r="V186" s="1"/>
    </row>
    <row r="187" spans="1:22">
      <c r="A187" s="40"/>
      <c r="B187" s="27" t="s">
        <v>632</v>
      </c>
      <c r="C187" s="9"/>
      <c r="D187" s="1" t="str">
        <f>IF(C187,C187+Q179,"")</f>
        <v/>
      </c>
      <c r="E187" s="72" t="str">
        <f t="shared" si="56"/>
        <v/>
      </c>
      <c r="F187" s="14" t="str">
        <f>IF(AND(C187&lt;&gt;"",N177&lt;&gt;""),(M179/F179*E177+M180/F180*D177)/(C187+Q179),"")</f>
        <v/>
      </c>
      <c r="G187" s="1" t="str">
        <f>IF(C187,IF(AND(F179&lt;&gt;0,C177&lt;&gt;0),M180,M180/F180*D177)/(C187+Q180),"")</f>
        <v/>
      </c>
      <c r="H187" s="1" t="str">
        <f>IF(C187,(M181)/(C187+Q181),"")</f>
        <v/>
      </c>
      <c r="I187" s="1" t="str">
        <f>IF(C187,(M182)/(C187+Q182),"")</f>
        <v/>
      </c>
      <c r="J187" s="1" t="str">
        <f>IF(C187,(M183)/(C187+Q183),"")</f>
        <v/>
      </c>
      <c r="K187" s="14" t="str">
        <f>IF(AND(C187&lt;&gt;"",N177&lt;&gt;""),9.8*N177*LN((C187+Q179)/(C187+R179)),"")</f>
        <v/>
      </c>
      <c r="L187" s="1" t="str">
        <f>IF(C187,9.8*F180*LN((C187+Q180)/(C187+R180)),"")</f>
        <v/>
      </c>
      <c r="M187" s="1" t="str">
        <f>IF(C187,9.8*F181*LN((C187+Q181)/(C187+R181)),"")</f>
        <v/>
      </c>
      <c r="N187" s="1" t="str">
        <f>IF(C187,9.8*F182*LN((C187+Q182)/(C187+R182)),"")</f>
        <v/>
      </c>
      <c r="O187" s="1" t="str">
        <f>IF(C187,9.8*F183*LN((C187+Q183)/(C187+R183)),"")</f>
        <v/>
      </c>
      <c r="P187" s="15" t="str">
        <f>IF(C187,SUM(K187:O187),"")</f>
        <v/>
      </c>
      <c r="Q187" s="1"/>
      <c r="R187" s="1"/>
      <c r="S187" s="1"/>
      <c r="T187" s="32" t="str">
        <f t="shared" si="57"/>
        <v/>
      </c>
      <c r="U187" s="1"/>
      <c r="V187" s="1"/>
    </row>
    <row r="188" spans="1:22" ht="15" thickBot="1">
      <c r="A188" s="47"/>
      <c r="B188" s="28" t="s">
        <v>5</v>
      </c>
      <c r="C188" s="83">
        <v>20</v>
      </c>
      <c r="D188" s="1">
        <f>IF(C188,C188+Q179,"")</f>
        <v>1289.6400000000001</v>
      </c>
      <c r="E188" s="72">
        <f t="shared" si="56"/>
        <v>1.5508203839831269E-2</v>
      </c>
      <c r="F188" s="14">
        <f>IF(AND(C188&lt;&gt;"",N177&lt;&gt;""),(M179/F179*E177+M180/F180*D177)/(C188+Q179),"")</f>
        <v>1.3026891225458266</v>
      </c>
      <c r="G188" s="1">
        <f>IF(C188,IF(AND(F179&lt;&gt;0,C177&lt;&gt;0),M180,M180/F180*D177)/(C188+Q180),"")</f>
        <v>3.8965358539311516</v>
      </c>
      <c r="H188" s="1">
        <f>IF(C188,(M181)/(C188+Q181),"")</f>
        <v>1.0455588331694528</v>
      </c>
      <c r="I188" s="1">
        <f>IF(C188,(M182)/(C188+Q182),"")</f>
        <v>0</v>
      </c>
      <c r="J188" s="1">
        <f>IF(C188,(M183)/(C188+Q183),"")</f>
        <v>0</v>
      </c>
      <c r="K188" s="14">
        <f>IF(AND(C188&lt;&gt;"",N177&lt;&gt;""),9.8*N177*LN((C188+Q179)/(C188+R179)),"")</f>
        <v>5364.9900571161688</v>
      </c>
      <c r="L188" s="1">
        <f>IF(C188,9.8*F180*LN((C188+Q180)/(C188+R180)),"")</f>
        <v>800.68659616583625</v>
      </c>
      <c r="M188" s="1">
        <f>IF(C188,9.8*F181*LN((C188+Q181)/(C188+R181)),"")</f>
        <v>4246.3276069242029</v>
      </c>
      <c r="N188" s="1">
        <f>IF(C188,9.8*F182*LN((C188+Q182)/(C188+R182)),"")</f>
        <v>0</v>
      </c>
      <c r="O188" s="1">
        <f>IF(C188,9.8*F183*LN((C188+Q183)/(C188+R183)),"")</f>
        <v>0</v>
      </c>
      <c r="P188" s="15">
        <f>IF(C188,SUM(K188:O188),"")</f>
        <v>10412.004260206208</v>
      </c>
      <c r="Q188" s="17" t="s">
        <v>637</v>
      </c>
      <c r="R188" s="17"/>
      <c r="S188" s="17"/>
      <c r="T188" s="32" t="str">
        <f t="shared" si="57"/>
        <v/>
      </c>
      <c r="U188" s="1"/>
      <c r="V188" s="1"/>
    </row>
    <row r="189" spans="1:22" ht="15" thickBot="1">
      <c r="A189" s="33" t="s">
        <v>45</v>
      </c>
      <c r="B189" s="26" t="s">
        <v>37</v>
      </c>
      <c r="C189" s="1" t="s">
        <v>9</v>
      </c>
      <c r="D189" s="12" t="s">
        <v>28</v>
      </c>
      <c r="E189" s="12" t="s">
        <v>266</v>
      </c>
      <c r="F189" s="11" t="s">
        <v>40</v>
      </c>
      <c r="G189" s="12" t="s">
        <v>29</v>
      </c>
      <c r="H189" s="12" t="s">
        <v>23</v>
      </c>
      <c r="I189" s="12" t="s">
        <v>24</v>
      </c>
      <c r="J189" s="12" t="s">
        <v>25</v>
      </c>
      <c r="K189" s="11" t="s">
        <v>19</v>
      </c>
      <c r="L189" s="12" t="s">
        <v>26</v>
      </c>
      <c r="M189" s="12" t="s">
        <v>20</v>
      </c>
      <c r="N189" s="12" t="s">
        <v>21</v>
      </c>
      <c r="O189" s="12" t="s">
        <v>22</v>
      </c>
      <c r="P189" s="13" t="s">
        <v>27</v>
      </c>
      <c r="Q189" s="85" t="s">
        <v>42</v>
      </c>
      <c r="R189" s="85"/>
      <c r="S189" s="85"/>
      <c r="T189" s="12" t="s">
        <v>51</v>
      </c>
      <c r="U189" s="37" t="s">
        <v>45</v>
      </c>
      <c r="V189" s="38" t="s">
        <v>48</v>
      </c>
    </row>
    <row r="190" spans="1:22">
      <c r="A190" s="40"/>
      <c r="B190" s="27" t="s">
        <v>636</v>
      </c>
      <c r="C190" s="78">
        <v>10.5</v>
      </c>
      <c r="D190" s="1">
        <f>IF(C190,C190+Q179,"")</f>
        <v>1280.1400000000001</v>
      </c>
      <c r="E190" s="72">
        <f>IF(C190,C190/D190,"")</f>
        <v>8.202227881325479E-3</v>
      </c>
      <c r="F190" s="14">
        <f>IF(AND(C190&lt;&gt;"",N177&lt;&gt;""),(M179/F179*E177+M180/F180*D177)/(C190+U179),"")</f>
        <v>1.3123564610120766</v>
      </c>
      <c r="G190" s="1">
        <f>IF(C190,IF(AND(F179&lt;&gt;0,C177&lt;&gt;0),M180,M180/F180*D177)/(C190+U180),"")</f>
        <v>3.5597868569934485</v>
      </c>
      <c r="H190" s="1">
        <f>IF(C190,(M181)/(C190+U181),"")</f>
        <v>1.1666463488967451</v>
      </c>
      <c r="I190" s="1">
        <f>IF(C190,(M182)/(C190+U182),"")</f>
        <v>0</v>
      </c>
      <c r="J190" s="1">
        <f>IF(C190,(M183)/(C190+U183),"")</f>
        <v>0</v>
      </c>
      <c r="K190" s="14">
        <f>IF(AND(C190&lt;&gt;"",N177&lt;&gt;""),9.8*N177*LN((C190+U179)/(C190+V179)),"")</f>
        <v>4509.1818443314878</v>
      </c>
      <c r="L190" s="1">
        <f>IF(C190,9.8*F180*LN((C190+U180)/(C190+V180)),"")</f>
        <v>446.68627014749563</v>
      </c>
      <c r="M190" s="1">
        <f>IF(C190,9.8*F181*LN((C190+U181)/(C190+V181)),"")</f>
        <v>5447.2161698692125</v>
      </c>
      <c r="N190" s="1">
        <f>IF(C190,9.8*F182*LN((C190+U182)/(C190+V182)),"")</f>
        <v>0</v>
      </c>
      <c r="O190" s="1">
        <f>IF(C190,9.8*F183*LN((C190+U183)/(C190+V183)),"")</f>
        <v>0</v>
      </c>
      <c r="P190" s="15">
        <f>IF(C190,SUM(K190:O190),"")</f>
        <v>10403.084284348195</v>
      </c>
      <c r="Q190" s="1" t="s">
        <v>626</v>
      </c>
      <c r="R190" s="1"/>
      <c r="S190" s="1"/>
      <c r="T190" s="32" t="str">
        <f>IF(OR(F190&lt;1,AND(F190="",G190&lt;1)),"起飞推重比不得小于0，空天飞机除外","")</f>
        <v/>
      </c>
      <c r="U190" s="1"/>
      <c r="V190" s="1"/>
    </row>
    <row r="191" spans="1:22">
      <c r="A191" s="47"/>
      <c r="B191" s="27" t="s">
        <v>31</v>
      </c>
      <c r="C191" s="9"/>
      <c r="D191" s="1" t="str">
        <f>IF(C191,C191+Q179,"")</f>
        <v/>
      </c>
      <c r="E191" s="72" t="str">
        <f t="shared" ref="E191:E193" si="58">IF(C191,C191/D191,"")</f>
        <v/>
      </c>
      <c r="F191" s="14" t="str">
        <f>IF(AND(C191&lt;&gt;"",N177&lt;&gt;""),(M179/F179*E177+M180/F180*D177)/(C191+U179),"")</f>
        <v/>
      </c>
      <c r="G191" s="1" t="str">
        <f>IF(C191,IF(AND(F179&lt;&gt;0,C177&lt;&gt;0),M180,M180/F180*D177)/(C191+U180),"")</f>
        <v/>
      </c>
      <c r="H191" s="1" t="str">
        <f>IF(C191,(M181)/(C191+U181),"")</f>
        <v/>
      </c>
      <c r="I191" s="1" t="str">
        <f>IF(C191,(M182)/(C191+U182),"")</f>
        <v/>
      </c>
      <c r="J191" s="1" t="str">
        <f>IF(C191,(M183)/(C191+U183),"")</f>
        <v/>
      </c>
      <c r="K191" s="14" t="str">
        <f>IF(AND(C191&lt;&gt;"",N177&lt;&gt;""),9.8*N177*LN((C191+U179)/(C191+V179)),"")</f>
        <v/>
      </c>
      <c r="L191" s="1" t="str">
        <f>IF(C191,9.8*F180*LN((C191+U180)/(C191+V180)),"")</f>
        <v/>
      </c>
      <c r="M191" s="1" t="str">
        <f>IF(C191,9.8*F181*LN((C191+U181)/(C191+V181)),"")</f>
        <v/>
      </c>
      <c r="N191" s="1" t="str">
        <f>IF(C191,9.8*F182*LN((C191+U182)/(C191+V182)),"")</f>
        <v/>
      </c>
      <c r="O191" s="1" t="str">
        <f>IF(C191,9.8*F183*LN((C191+U183)/(C191+V183)),"")</f>
        <v/>
      </c>
      <c r="P191" s="15" t="str">
        <f>IF(C191,SUM(K191:O191),"")</f>
        <v/>
      </c>
      <c r="Q191" s="1" t="s">
        <v>630</v>
      </c>
      <c r="R191" s="1"/>
      <c r="S191" s="1"/>
      <c r="T191" s="32" t="str">
        <f t="shared" ref="T191:T193" si="59">IF(OR(F191&lt;1,AND(F191="",G191&lt;1)),"起飞推重比不得小于0，空天飞机除外","")</f>
        <v/>
      </c>
      <c r="U191" s="1"/>
      <c r="V191" s="1"/>
    </row>
    <row r="192" spans="1:22">
      <c r="A192" s="47"/>
      <c r="B192" s="27" t="s">
        <v>633</v>
      </c>
      <c r="C192" s="9"/>
      <c r="D192" s="1" t="str">
        <f>IF(C192,C192+Q179,"")</f>
        <v/>
      </c>
      <c r="E192" s="72" t="str">
        <f t="shared" si="58"/>
        <v/>
      </c>
      <c r="F192" s="14" t="str">
        <f>IF(AND(C192&lt;&gt;"",N177&lt;&gt;""),(M179/F179*E177+M180/F180*D177)/(C192+U179),"")</f>
        <v/>
      </c>
      <c r="G192" s="1" t="str">
        <f>IF(C192,IF(AND(F179&lt;&gt;0,C177&lt;&gt;0),M180,M180/F180*D177)/(C192+U180),"")</f>
        <v/>
      </c>
      <c r="H192" s="1" t="str">
        <f>IF(C192,(M181)/(C192+U181),"")</f>
        <v/>
      </c>
      <c r="I192" s="1" t="str">
        <f>IF(C192,(M182)/(C192+U182),"")</f>
        <v/>
      </c>
      <c r="J192" s="1" t="str">
        <f>IF(C192,(M183)/(C192+U183),"")</f>
        <v/>
      </c>
      <c r="K192" s="14" t="str">
        <f>IF(AND(C192&lt;&gt;"",N177&lt;&gt;""),9.8*N177*LN((C192+U179)/(C192+V179)),"")</f>
        <v/>
      </c>
      <c r="L192" s="1" t="str">
        <f>IF(C192,9.8*F180*LN((C192+U180)/(C192+V180)),"")</f>
        <v/>
      </c>
      <c r="M192" s="1" t="str">
        <f>IF(C192,9.8*F181*LN((C192+U181)/(C192+V181)),"")</f>
        <v/>
      </c>
      <c r="N192" s="1" t="str">
        <f>IF(C192,9.8*F182*LN((C192+U182)/(C192+V182)),"")</f>
        <v/>
      </c>
      <c r="O192" s="1" t="str">
        <f>IF(C192,9.8*F183*LN((C192+U183)/(C192+V183)),"")</f>
        <v/>
      </c>
      <c r="P192" s="15" t="str">
        <f>IF(C192,SUM(K192:O192),"")</f>
        <v/>
      </c>
      <c r="Q192" s="31" t="s">
        <v>638</v>
      </c>
      <c r="R192" s="1"/>
      <c r="S192" s="1"/>
      <c r="T192" s="32" t="str">
        <f t="shared" si="59"/>
        <v/>
      </c>
      <c r="U192" s="1"/>
      <c r="V192" s="1"/>
    </row>
    <row r="193" spans="1:22" ht="15" thickBot="1">
      <c r="A193" s="48" t="s">
        <v>46</v>
      </c>
      <c r="B193" s="49" t="s">
        <v>33</v>
      </c>
      <c r="C193" s="82">
        <v>10.5</v>
      </c>
      <c r="D193" s="25">
        <f>IF(C193,C193+Q179,"")</f>
        <v>1280.1400000000001</v>
      </c>
      <c r="E193" s="73">
        <f t="shared" si="58"/>
        <v>8.202227881325479E-3</v>
      </c>
      <c r="F193" s="70">
        <f>IF(AND(C193&lt;&gt;"",N177&lt;&gt;""),(M179/F179*E177+M180/F180*D177)/(C193+U179),"")</f>
        <v>1.3123564610120766</v>
      </c>
      <c r="G193" s="25">
        <f>IF(C193,IF(AND(F179&lt;&gt;0,C177&lt;&gt;0),M180,M180/F180*D177)/(C193+U180),"")</f>
        <v>3.5597868569934485</v>
      </c>
      <c r="H193" s="25">
        <f>IF(C193,(M181)/(C193+U181),"")</f>
        <v>1.1666463488967451</v>
      </c>
      <c r="I193" s="25">
        <f>IF(C193,(M182)/(C193+U182),"")</f>
        <v>0</v>
      </c>
      <c r="J193" s="25">
        <f>IF(C193,(M183)/(C193+U183),"")</f>
        <v>0</v>
      </c>
      <c r="K193" s="70">
        <f>IF(AND(C193&lt;&gt;"",N177&lt;&gt;""),9.8*N177*LN((C193+U179)/(C193+V179)),"")</f>
        <v>4509.1818443314878</v>
      </c>
      <c r="L193" s="25">
        <f>IF(C193,9.8*F180*LN((C193+U180)/(C193+V180)),"")</f>
        <v>446.68627014749563</v>
      </c>
      <c r="M193" s="25">
        <f>IF(C193,9.8*F181*LN((C193+U181)/(C193+V181)),"")</f>
        <v>5447.2161698692125</v>
      </c>
      <c r="N193" s="25">
        <f>IF(C193,9.8*F182*LN((C193+U182)/(C193+V182)),"")</f>
        <v>0</v>
      </c>
      <c r="O193" s="25">
        <f>IF(C193,9.8*F183*LN((C193+U183)/(C193+V183)),"")</f>
        <v>0</v>
      </c>
      <c r="P193" s="71">
        <f>IF(C193,SUM(K193:O193),"")</f>
        <v>10403.084284348195</v>
      </c>
      <c r="Q193" s="25" t="s">
        <v>639</v>
      </c>
      <c r="R193" s="25"/>
      <c r="S193" s="25"/>
      <c r="T193" s="51" t="str">
        <f t="shared" si="59"/>
        <v/>
      </c>
      <c r="U193" s="25"/>
      <c r="V193" s="25"/>
    </row>
    <row r="194" spans="1:22" ht="15" thickBot="1">
      <c r="A194" s="33"/>
      <c r="B194" s="27"/>
      <c r="C194" s="1"/>
      <c r="D194" s="1"/>
      <c r="E194" s="7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32"/>
      <c r="U194" s="1"/>
      <c r="V194" s="1"/>
    </row>
    <row r="195" spans="1:22" ht="15" thickBot="1">
      <c r="A195" s="52" t="s">
        <v>335</v>
      </c>
      <c r="B195" s="52"/>
      <c r="C195" s="29" t="s">
        <v>0</v>
      </c>
      <c r="D195" s="90" t="s">
        <v>41</v>
      </c>
      <c r="E195" s="90"/>
      <c r="F195" s="43"/>
      <c r="G195" s="43"/>
      <c r="H195" s="43"/>
      <c r="I195" s="86" t="s">
        <v>42</v>
      </c>
      <c r="J195" s="86"/>
      <c r="K195" s="86"/>
      <c r="L195" s="54" t="s">
        <v>70</v>
      </c>
      <c r="M195" s="86" t="s">
        <v>71</v>
      </c>
      <c r="N195" s="86"/>
      <c r="O195" s="87"/>
      <c r="P195" s="29" t="s">
        <v>49</v>
      </c>
      <c r="Q195" s="34" t="str">
        <f>IF(OR(P199&lt;P198,T199&lt;T198),"芯级燃烧时间不得小于助推燃烧时间！","")</f>
        <v/>
      </c>
      <c r="R195" s="44"/>
      <c r="S195" s="45"/>
      <c r="T195" s="29"/>
      <c r="U195" s="46" t="s">
        <v>45</v>
      </c>
      <c r="V195" s="46" t="s">
        <v>48</v>
      </c>
    </row>
    <row r="196" spans="1:22" ht="15" thickBot="1">
      <c r="A196" s="40" t="s">
        <v>336</v>
      </c>
      <c r="B196" s="39"/>
      <c r="C196" s="2">
        <v>0</v>
      </c>
      <c r="D196" s="2">
        <v>303</v>
      </c>
      <c r="E196" s="2">
        <v>0</v>
      </c>
      <c r="F196" s="41"/>
      <c r="G196" s="42"/>
      <c r="H196" s="42"/>
      <c r="I196" s="24" t="s">
        <v>372</v>
      </c>
      <c r="J196" s="24"/>
      <c r="K196" s="24"/>
      <c r="L196" s="55">
        <f>IFERROR(IF(AND(F198&lt;&gt;0,C196&lt;&gt;0),M198/F198*E196+M199/F199*D196,M199/F199*D196),0)</f>
        <v>700.06567164179103</v>
      </c>
      <c r="M196" s="53" t="s">
        <v>45</v>
      </c>
      <c r="N196" s="17" t="str">
        <f>IF(AND(F198&lt;&gt;0,C196&lt;&gt;0),(M198+M199)/(M198/F198+M199/F199),"")</f>
        <v/>
      </c>
      <c r="O196" s="56" t="s">
        <v>46</v>
      </c>
      <c r="P196" s="89" t="s">
        <v>17</v>
      </c>
      <c r="Q196" s="89"/>
      <c r="R196" s="91"/>
      <c r="S196" s="88" t="s">
        <v>18</v>
      </c>
      <c r="T196" s="89"/>
      <c r="U196" s="89"/>
      <c r="V196" s="89"/>
    </row>
    <row r="197" spans="1:22" ht="15" thickBot="1">
      <c r="A197" s="33" t="s">
        <v>45</v>
      </c>
      <c r="B197" s="26" t="s">
        <v>39</v>
      </c>
      <c r="C197" s="1" t="s">
        <v>60</v>
      </c>
      <c r="D197" s="1" t="s">
        <v>61</v>
      </c>
      <c r="E197" s="1" t="s">
        <v>62</v>
      </c>
      <c r="F197" s="1" t="s">
        <v>63</v>
      </c>
      <c r="G197" s="1" t="s">
        <v>64</v>
      </c>
      <c r="H197" s="1" t="s">
        <v>65</v>
      </c>
      <c r="I197" s="59" t="s">
        <v>380</v>
      </c>
      <c r="J197" s="24"/>
      <c r="K197" s="24"/>
      <c r="L197" s="11" t="s">
        <v>6</v>
      </c>
      <c r="M197" s="12" t="s">
        <v>69</v>
      </c>
      <c r="N197" s="12" t="s">
        <v>15</v>
      </c>
      <c r="O197" s="13" t="s">
        <v>14</v>
      </c>
      <c r="P197" s="14" t="s">
        <v>12</v>
      </c>
      <c r="Q197" s="1" t="s">
        <v>10</v>
      </c>
      <c r="R197" s="15" t="s">
        <v>11</v>
      </c>
      <c r="S197" s="14" t="s">
        <v>13</v>
      </c>
      <c r="T197" s="1" t="s">
        <v>16</v>
      </c>
      <c r="U197" s="1" t="s">
        <v>10</v>
      </c>
      <c r="V197" s="1" t="s">
        <v>11</v>
      </c>
    </row>
    <row r="198" spans="1:22">
      <c r="A198" s="40"/>
      <c r="B198" s="27" t="s">
        <v>3</v>
      </c>
      <c r="C198" s="3"/>
      <c r="D198" s="4"/>
      <c r="E198" s="4"/>
      <c r="F198" s="4"/>
      <c r="G198" s="19"/>
      <c r="H198" s="20"/>
      <c r="I198" s="24" t="s">
        <v>371</v>
      </c>
      <c r="J198" s="24"/>
      <c r="K198" s="24"/>
      <c r="L198" s="14">
        <f>C198*C196</f>
        <v>0</v>
      </c>
      <c r="M198" s="1">
        <f>E198*C196</f>
        <v>0</v>
      </c>
      <c r="N198" s="1">
        <f>IF(D198,L198/D198,0)</f>
        <v>0</v>
      </c>
      <c r="O198" s="15">
        <f>L198-N198</f>
        <v>0</v>
      </c>
      <c r="P198" s="14">
        <f>IF(AND(F198&lt;&gt;0,C196&lt;&gt;0),O198/M198*F198/IF(G198,G198,1),0)</f>
        <v>0</v>
      </c>
      <c r="Q198" s="1">
        <f>SUM(L198:L202)</f>
        <v>540</v>
      </c>
      <c r="R198" s="15">
        <f>N198+Q199</f>
        <v>540</v>
      </c>
      <c r="S198" s="14">
        <f>N198+H198*O198</f>
        <v>0</v>
      </c>
      <c r="T198" s="1">
        <f>IF(AND(F198&lt;&gt;0,C196&lt;&gt;0),(1-H198)*O198/M198*F198/IF(G198,G198,1),0)</f>
        <v>0</v>
      </c>
      <c r="U198" s="1">
        <f>SUM(L198:L202)</f>
        <v>540</v>
      </c>
      <c r="V198" s="1">
        <f>S198+U199</f>
        <v>540</v>
      </c>
    </row>
    <row r="199" spans="1:22">
      <c r="A199" s="47"/>
      <c r="B199" s="27">
        <v>1</v>
      </c>
      <c r="C199" s="5">
        <v>140</v>
      </c>
      <c r="D199" s="1">
        <v>16</v>
      </c>
      <c r="E199" s="1">
        <v>774</v>
      </c>
      <c r="F199" s="1">
        <v>335</v>
      </c>
      <c r="G199" s="5">
        <v>1</v>
      </c>
      <c r="H199" s="21"/>
      <c r="I199" s="30" t="s">
        <v>367</v>
      </c>
      <c r="J199" s="30"/>
      <c r="K199" s="30"/>
      <c r="L199" s="14">
        <f>C199</f>
        <v>140</v>
      </c>
      <c r="M199" s="1">
        <f>E199</f>
        <v>774</v>
      </c>
      <c r="N199" s="1">
        <f>IF(D199,L199/D199,0)</f>
        <v>8.75</v>
      </c>
      <c r="O199" s="15">
        <f>L199-N199</f>
        <v>131.25</v>
      </c>
      <c r="P199" s="14">
        <f t="shared" ref="P199:P202" si="60">IF(F199,O199/M199*F199/IF(G199,G199,1),0)</f>
        <v>56.80717054263566</v>
      </c>
      <c r="Q199" s="1">
        <f>IF(F199,SUM(L199:L202)-P198*M199/F199*IF(G199,G199,1),0)</f>
        <v>540</v>
      </c>
      <c r="R199" s="15">
        <f>N199+Q200</f>
        <v>408.75</v>
      </c>
      <c r="S199" s="14">
        <f>N199+H199*O199</f>
        <v>8.75</v>
      </c>
      <c r="T199" s="1">
        <f>IF(F199,(1-H199)*O199/M199*F199/IF(G199,G199,1),0)</f>
        <v>56.80717054263566</v>
      </c>
      <c r="U199" s="1">
        <f>IF(F199,SUM(L199:L202)-T198*M199/F199*IF(G199,G199,1),0)</f>
        <v>540</v>
      </c>
      <c r="V199" s="1">
        <f>S199+U200</f>
        <v>408.75</v>
      </c>
    </row>
    <row r="200" spans="1:22">
      <c r="A200" s="47"/>
      <c r="B200" s="27">
        <v>2</v>
      </c>
      <c r="C200" s="5">
        <v>140</v>
      </c>
      <c r="D200" s="1">
        <v>16</v>
      </c>
      <c r="E200" s="1">
        <v>774</v>
      </c>
      <c r="F200" s="1">
        <v>335</v>
      </c>
      <c r="G200" s="5"/>
      <c r="H200" s="21"/>
      <c r="I200" s="30" t="s">
        <v>368</v>
      </c>
      <c r="J200" s="30"/>
      <c r="K200" s="30"/>
      <c r="L200" s="14">
        <f>C200</f>
        <v>140</v>
      </c>
      <c r="M200" s="1">
        <f>E200</f>
        <v>774</v>
      </c>
      <c r="N200" s="1">
        <f>IF(D200,L200/D200,0)</f>
        <v>8.75</v>
      </c>
      <c r="O200" s="15">
        <f>L200-N200</f>
        <v>131.25</v>
      </c>
      <c r="P200" s="14">
        <f t="shared" si="60"/>
        <v>56.80717054263566</v>
      </c>
      <c r="Q200" s="1">
        <f>SUM(L200:L202)</f>
        <v>400</v>
      </c>
      <c r="R200" s="15">
        <f>N200+Q201</f>
        <v>268.75</v>
      </c>
      <c r="S200" s="14">
        <f>N200+H200*O200</f>
        <v>8.75</v>
      </c>
      <c r="T200" s="1">
        <f t="shared" ref="T200:T202" si="61">IF(F200,(1-H200)*O200/M200*F200/IF(G200,G200,1),0)</f>
        <v>56.80717054263566</v>
      </c>
      <c r="U200" s="1">
        <f>SUM(L200:L202)</f>
        <v>400</v>
      </c>
      <c r="V200" s="1">
        <f>S200+U201</f>
        <v>268.75</v>
      </c>
    </row>
    <row r="201" spans="1:22">
      <c r="A201" s="33" t="s">
        <v>45</v>
      </c>
      <c r="B201" s="27">
        <v>3</v>
      </c>
      <c r="C201" s="5">
        <v>160</v>
      </c>
      <c r="D201" s="1">
        <v>11</v>
      </c>
      <c r="E201" s="1">
        <v>774</v>
      </c>
      <c r="F201" s="1">
        <v>335</v>
      </c>
      <c r="G201" s="5"/>
      <c r="H201" s="21"/>
      <c r="I201" s="30" t="s">
        <v>369</v>
      </c>
      <c r="J201" s="30"/>
      <c r="K201" s="30"/>
      <c r="L201" s="14">
        <f>C201</f>
        <v>160</v>
      </c>
      <c r="M201" s="1">
        <f>E201</f>
        <v>774</v>
      </c>
      <c r="N201" s="1">
        <f>IF(D201,L201/D201,0)</f>
        <v>14.545454545454545</v>
      </c>
      <c r="O201" s="15">
        <f>L201-N201</f>
        <v>145.45454545454547</v>
      </c>
      <c r="P201" s="14">
        <f t="shared" si="60"/>
        <v>62.955132722574589</v>
      </c>
      <c r="Q201" s="1">
        <f>SUM(L201:L202)</f>
        <v>260</v>
      </c>
      <c r="R201" s="15">
        <f>N201+Q202</f>
        <v>114.54545454545455</v>
      </c>
      <c r="S201" s="14">
        <f>N201+H201*O201</f>
        <v>14.545454545454545</v>
      </c>
      <c r="T201" s="1">
        <f t="shared" si="61"/>
        <v>62.955132722574589</v>
      </c>
      <c r="U201" s="1">
        <f>SUM(L201:L202)</f>
        <v>260</v>
      </c>
      <c r="V201" s="1">
        <f>S201+U202</f>
        <v>114.54545454545455</v>
      </c>
    </row>
    <row r="202" spans="1:22" ht="15" thickBot="1">
      <c r="A202" s="40"/>
      <c r="B202" s="28">
        <v>4</v>
      </c>
      <c r="C202" s="6">
        <v>100</v>
      </c>
      <c r="D202" s="7">
        <v>16</v>
      </c>
      <c r="E202" s="7">
        <v>115.5</v>
      </c>
      <c r="F202" s="7">
        <v>350</v>
      </c>
      <c r="G202" s="22"/>
      <c r="H202" s="23"/>
      <c r="I202" s="24" t="s">
        <v>370</v>
      </c>
      <c r="J202" s="24"/>
      <c r="K202" s="24"/>
      <c r="L202" s="16">
        <f>C202</f>
        <v>100</v>
      </c>
      <c r="M202" s="17">
        <f>E202</f>
        <v>115.5</v>
      </c>
      <c r="N202" s="17">
        <f>IF(D202,L202/D202,0)</f>
        <v>6.25</v>
      </c>
      <c r="O202" s="18">
        <f>L202-N202</f>
        <v>93.75</v>
      </c>
      <c r="P202" s="14">
        <f t="shared" si="60"/>
        <v>284.09090909090907</v>
      </c>
      <c r="Q202" s="17">
        <f>SUM(L202:L202)</f>
        <v>100</v>
      </c>
      <c r="R202" s="18">
        <f>N202</f>
        <v>6.25</v>
      </c>
      <c r="S202" s="16">
        <f>N202+H202*O202</f>
        <v>6.25</v>
      </c>
      <c r="T202" s="17">
        <f t="shared" si="61"/>
        <v>284.09090909090907</v>
      </c>
      <c r="U202" s="17">
        <f>SUM(L202:L202)</f>
        <v>100</v>
      </c>
      <c r="V202" s="17">
        <f>S202</f>
        <v>6.25</v>
      </c>
    </row>
    <row r="203" spans="1:22" ht="15" thickBot="1">
      <c r="A203" s="47"/>
      <c r="B203" s="26" t="s">
        <v>38</v>
      </c>
      <c r="C203" s="1" t="s">
        <v>4</v>
      </c>
      <c r="D203" s="1" t="s">
        <v>28</v>
      </c>
      <c r="E203" s="1" t="s">
        <v>265</v>
      </c>
      <c r="F203" s="69" t="s">
        <v>40</v>
      </c>
      <c r="G203" s="1" t="s">
        <v>29</v>
      </c>
      <c r="H203" s="1" t="s">
        <v>23</v>
      </c>
      <c r="I203" s="12" t="s">
        <v>24</v>
      </c>
      <c r="J203" s="12" t="s">
        <v>25</v>
      </c>
      <c r="K203" s="11" t="s">
        <v>19</v>
      </c>
      <c r="L203" s="12" t="s">
        <v>26</v>
      </c>
      <c r="M203" s="12" t="s">
        <v>20</v>
      </c>
      <c r="N203" s="12" t="s">
        <v>21</v>
      </c>
      <c r="O203" s="12" t="s">
        <v>22</v>
      </c>
      <c r="P203" s="13" t="s">
        <v>27</v>
      </c>
      <c r="Q203" s="85" t="s">
        <v>42</v>
      </c>
      <c r="R203" s="85"/>
      <c r="S203" s="85"/>
      <c r="T203" s="31" t="s">
        <v>50</v>
      </c>
      <c r="U203" s="35" t="s">
        <v>47</v>
      </c>
      <c r="V203" s="36" t="s">
        <v>264</v>
      </c>
    </row>
    <row r="204" spans="1:22">
      <c r="A204" s="47"/>
      <c r="B204" s="27" t="s">
        <v>30</v>
      </c>
      <c r="C204" s="79">
        <v>25</v>
      </c>
      <c r="D204" s="1">
        <f>IF(C204,C204+Q198,"")</f>
        <v>565</v>
      </c>
      <c r="E204" s="72">
        <f>IF(C204,C204/D204,"")</f>
        <v>4.4247787610619468E-2</v>
      </c>
      <c r="F204" s="14" t="str">
        <f>IF(AND(C204&lt;&gt;"",N196&lt;&gt;""),(M198/F198*E196+M199/F199*D196)/(C204+Q198),"")</f>
        <v/>
      </c>
      <c r="G204" s="1">
        <f>IF(C204,IF(AND(F198&lt;&gt;0,C196&lt;&gt;0),M199,M199/F199*D196)/(C204+Q199),"")</f>
        <v>1.2390542860916656</v>
      </c>
      <c r="H204" s="1">
        <f>IF(C204,(M200)/(C204+Q200),"")</f>
        <v>1.8211764705882354</v>
      </c>
      <c r="I204" s="1">
        <f>IF(C204,(M201)/(C204+Q201),"")</f>
        <v>2.7157894736842105</v>
      </c>
      <c r="J204" s="1">
        <f>IF(C204,(M202)/(C204+Q202),"")</f>
        <v>0.92400000000000004</v>
      </c>
      <c r="K204" s="14" t="str">
        <f>IF(AND(C204&lt;&gt;"",N196&lt;&gt;""),9.8*N196*LN((C204+Q198)/(C204+R198)),"")</f>
        <v/>
      </c>
      <c r="L204" s="1">
        <f>IF(C204,9.8*F199*LN((C204+Q199)/(C204+R199)),"")</f>
        <v>867.88534382367641</v>
      </c>
      <c r="M204" s="1">
        <f>IF(C204,9.8*F200*LN((C204+Q200)/(C204+R200)),"")</f>
        <v>1212.6092196790364</v>
      </c>
      <c r="N204" s="1">
        <f>IF(C204,9.8*F201*LN((C204+Q201)/(C204+R201)),"")</f>
        <v>2344.3863375691099</v>
      </c>
      <c r="O204" s="1">
        <f>IF(C204,9.8*F202*LN((C204+Q202)/(C204+R202)),"")</f>
        <v>4754.9896586412251</v>
      </c>
      <c r="P204" s="15">
        <f>IF(C204,SUM(K204:O204),"")</f>
        <v>9179.8705597130484</v>
      </c>
      <c r="Q204" s="77" t="s">
        <v>373</v>
      </c>
      <c r="R204" s="1"/>
      <c r="S204" s="1"/>
      <c r="T204" s="32" t="str">
        <f>IF(OR(F204&lt;1,AND(F204="",G204&lt;1)),"起飞推重比不得小于0，空天飞机除外","")</f>
        <v/>
      </c>
      <c r="U204" s="1"/>
      <c r="V204" s="1"/>
    </row>
    <row r="205" spans="1:22">
      <c r="A205" s="33" t="s">
        <v>47</v>
      </c>
      <c r="B205" s="27" t="s">
        <v>31</v>
      </c>
      <c r="C205" s="80">
        <v>9</v>
      </c>
      <c r="D205" s="1">
        <f>IF(C205,C205+Q198,"")</f>
        <v>549</v>
      </c>
      <c r="E205" s="72">
        <f t="shared" ref="E205:E207" si="62">IF(C205,C205/D205,"")</f>
        <v>1.6393442622950821E-2</v>
      </c>
      <c r="F205" s="14" t="str">
        <f>IF(AND(C205&lt;&gt;"",N196&lt;&gt;""),(M198/F198*E196+M199/F199*D196)/(C205+Q198),"")</f>
        <v/>
      </c>
      <c r="G205" s="1">
        <f>IF(C205,IF(AND(F198&lt;&gt;0,C196&lt;&gt;0),M199,M199/F199*D196)/(C205+Q199),"")</f>
        <v>1.2751651578174701</v>
      </c>
      <c r="H205" s="1">
        <f>IF(C205,(M200)/(C205+Q200),"")</f>
        <v>1.8924205378973105</v>
      </c>
      <c r="I205" s="1">
        <f>IF(C205,(M201)/(C205+Q201),"")</f>
        <v>2.8773234200743496</v>
      </c>
      <c r="J205" s="1">
        <f>IF(C205,(M202)/(C205+Q202),"")</f>
        <v>1.0596330275229358</v>
      </c>
      <c r="K205" s="14" t="str">
        <f>IF(AND(C205&lt;&gt;"",N196&lt;&gt;""),9.8*N196*LN((C205+Q198)/(C205+R198)),"")</f>
        <v/>
      </c>
      <c r="L205" s="1">
        <f>IF(C205,9.8*F199*LN((C205+Q199)/(C205+R199)),"")</f>
        <v>896.96574465371248</v>
      </c>
      <c r="M205" s="1">
        <f>IF(C205,9.8*F200*LN((C205+Q200)/(C205+R200)),"")</f>
        <v>1270.5004074582139</v>
      </c>
      <c r="N205" s="1">
        <f>IF(C205,9.8*F201*LN((C205+Q201)/(C205+R201)),"")</f>
        <v>2554.5096481716837</v>
      </c>
      <c r="O205" s="1">
        <f>IF(C205,9.8*F202*LN((C205+Q202)/(C205+R202)),"")</f>
        <v>6746.015540572731</v>
      </c>
      <c r="P205" s="15">
        <f>IF(C205,SUM(K205:O205),"")</f>
        <v>11467.991340856341</v>
      </c>
      <c r="Q205" s="1" t="s">
        <v>374</v>
      </c>
      <c r="R205" s="1"/>
      <c r="S205" s="1"/>
      <c r="T205" s="32" t="str">
        <f t="shared" ref="T205:T207" si="63">IF(OR(F205&lt;1,AND(F205="",G205&lt;1)),"起飞推重比不得小于0，空天飞机除外","")</f>
        <v/>
      </c>
      <c r="U205" s="1"/>
      <c r="V205" s="1"/>
    </row>
    <row r="206" spans="1:22">
      <c r="A206" s="40"/>
      <c r="B206" s="27" t="s">
        <v>36</v>
      </c>
      <c r="C206" s="9"/>
      <c r="D206" s="1" t="str">
        <f>IF(C206,C206+Q198,"")</f>
        <v/>
      </c>
      <c r="E206" s="72" t="str">
        <f t="shared" si="62"/>
        <v/>
      </c>
      <c r="F206" s="14" t="str">
        <f>IF(AND(C206&lt;&gt;"",N196&lt;&gt;""),(M198/F198*E196+M199/F199*D196)/(C206+Q198),"")</f>
        <v/>
      </c>
      <c r="G206" s="1" t="str">
        <f>IF(C206,IF(AND(F198&lt;&gt;0,C196&lt;&gt;0),M199,M199/F199*D196)/(C206+Q199),"")</f>
        <v/>
      </c>
      <c r="H206" s="1" t="str">
        <f>IF(C206,(M200)/(C206+Q200),"")</f>
        <v/>
      </c>
      <c r="I206" s="1" t="str">
        <f>IF(C206,(M201)/(C206+Q201),"")</f>
        <v/>
      </c>
      <c r="J206" s="1" t="str">
        <f>IF(C206,(M202)/(C206+Q202),"")</f>
        <v/>
      </c>
      <c r="K206" s="14" t="str">
        <f>IF(AND(C206&lt;&gt;"",N196&lt;&gt;""),9.8*N196*LN((C206+Q198)/(C206+R198)),"")</f>
        <v/>
      </c>
      <c r="L206" s="1" t="str">
        <f>IF(C206,9.8*F199*LN((C206+Q199)/(C206+R199)),"")</f>
        <v/>
      </c>
      <c r="M206" s="1" t="str">
        <f>IF(C206,9.8*F200*LN((C206+Q200)/(C206+R200)),"")</f>
        <v/>
      </c>
      <c r="N206" s="1" t="str">
        <f>IF(C206,9.8*F201*LN((C206+Q201)/(C206+R201)),"")</f>
        <v/>
      </c>
      <c r="O206" s="1" t="str">
        <f>IF(C206,9.8*F202*LN((C206+Q202)/(C206+R202)),"")</f>
        <v/>
      </c>
      <c r="P206" s="15" t="str">
        <f>IF(C206,SUM(K206:O206),"")</f>
        <v/>
      </c>
      <c r="Q206" s="1" t="s">
        <v>375</v>
      </c>
      <c r="R206" s="1"/>
      <c r="S206" s="1"/>
      <c r="T206" s="32" t="str">
        <f t="shared" si="63"/>
        <v/>
      </c>
      <c r="U206" s="1"/>
      <c r="V206" s="1"/>
    </row>
    <row r="207" spans="1:22" ht="15" thickBot="1">
      <c r="A207" s="47"/>
      <c r="B207" s="28" t="s">
        <v>5</v>
      </c>
      <c r="C207" s="10"/>
      <c r="D207" s="1" t="str">
        <f>IF(C207,C207+Q198,"")</f>
        <v/>
      </c>
      <c r="E207" s="72" t="str">
        <f t="shared" si="62"/>
        <v/>
      </c>
      <c r="F207" s="14" t="str">
        <f>IF(AND(C207&lt;&gt;"",N196&lt;&gt;""),(M198/F198*E196+M199/F199*D196)/(C207+Q198),"")</f>
        <v/>
      </c>
      <c r="G207" s="1" t="str">
        <f>IF(C207,IF(AND(F198&lt;&gt;0,C196&lt;&gt;0),M199,M199/F199*D196)/(C207+Q199),"")</f>
        <v/>
      </c>
      <c r="H207" s="1" t="str">
        <f>IF(C207,(M200)/(C207+Q200),"")</f>
        <v/>
      </c>
      <c r="I207" s="1" t="str">
        <f>IF(C207,(M201)/(C207+Q201),"")</f>
        <v/>
      </c>
      <c r="J207" s="1" t="str">
        <f>IF(C207,(M202)/(C207+Q202),"")</f>
        <v/>
      </c>
      <c r="K207" s="14" t="str">
        <f>IF(AND(C207&lt;&gt;"",N196&lt;&gt;""),9.8*N196*LN((C207+Q198)/(C207+R198)),"")</f>
        <v/>
      </c>
      <c r="L207" s="1" t="str">
        <f>IF(C207,9.8*F199*LN((C207+Q199)/(C207+R199)),"")</f>
        <v/>
      </c>
      <c r="M207" s="1" t="str">
        <f>IF(C207,9.8*F200*LN((C207+Q200)/(C207+R200)),"")</f>
        <v/>
      </c>
      <c r="N207" s="1" t="str">
        <f>IF(C207,9.8*F201*LN((C207+Q201)/(C207+R201)),"")</f>
        <v/>
      </c>
      <c r="O207" s="1" t="str">
        <f>IF(C207,9.8*F202*LN((C207+Q202)/(C207+R202)),"")</f>
        <v/>
      </c>
      <c r="P207" s="15" t="str">
        <f>IF(C207,SUM(K207:O207),"")</f>
        <v/>
      </c>
      <c r="Q207" s="17" t="s">
        <v>378</v>
      </c>
      <c r="R207" s="17"/>
      <c r="S207" s="17"/>
      <c r="T207" s="32" t="str">
        <f t="shared" si="63"/>
        <v/>
      </c>
      <c r="U207" s="1"/>
      <c r="V207" s="1"/>
    </row>
    <row r="208" spans="1:22" ht="15" thickBot="1">
      <c r="A208" s="33" t="s">
        <v>45</v>
      </c>
      <c r="B208" s="26" t="s">
        <v>37</v>
      </c>
      <c r="C208" s="1" t="s">
        <v>54</v>
      </c>
      <c r="D208" s="12" t="s">
        <v>28</v>
      </c>
      <c r="E208" s="12" t="s">
        <v>266</v>
      </c>
      <c r="F208" s="11" t="s">
        <v>40</v>
      </c>
      <c r="G208" s="12" t="s">
        <v>29</v>
      </c>
      <c r="H208" s="12" t="s">
        <v>23</v>
      </c>
      <c r="I208" s="12" t="s">
        <v>24</v>
      </c>
      <c r="J208" s="12" t="s">
        <v>25</v>
      </c>
      <c r="K208" s="11" t="s">
        <v>19</v>
      </c>
      <c r="L208" s="12" t="s">
        <v>26</v>
      </c>
      <c r="M208" s="12" t="s">
        <v>20</v>
      </c>
      <c r="N208" s="12" t="s">
        <v>21</v>
      </c>
      <c r="O208" s="12" t="s">
        <v>22</v>
      </c>
      <c r="P208" s="13" t="s">
        <v>27</v>
      </c>
      <c r="Q208" s="85" t="s">
        <v>42</v>
      </c>
      <c r="R208" s="85"/>
      <c r="S208" s="85"/>
      <c r="T208" s="12" t="s">
        <v>51</v>
      </c>
      <c r="U208" s="37" t="s">
        <v>45</v>
      </c>
      <c r="V208" s="38" t="s">
        <v>48</v>
      </c>
    </row>
    <row r="209" spans="1:22">
      <c r="A209" s="40"/>
      <c r="B209" s="27" t="s">
        <v>30</v>
      </c>
      <c r="C209" s="8"/>
      <c r="D209" s="1" t="str">
        <f>IF(C209,C209+Q198,"")</f>
        <v/>
      </c>
      <c r="E209" s="72" t="str">
        <f>IF(C209,C209/D209,"")</f>
        <v/>
      </c>
      <c r="F209" s="14" t="str">
        <f>IF(AND(C209&lt;&gt;"",N196&lt;&gt;""),(M198/F198*E196+M199/F199*D196)/(C209+U198),"")</f>
        <v/>
      </c>
      <c r="G209" s="1" t="str">
        <f>IF(C209,IF(AND(F198&lt;&gt;0,C196&lt;&gt;0),M199,M199/F199*D196)/(C209+U199),"")</f>
        <v/>
      </c>
      <c r="H209" s="1" t="str">
        <f>IF(C209,(M200)/(C209+U200),"")</f>
        <v/>
      </c>
      <c r="I209" s="1" t="str">
        <f>IF(C209,(M201)/(C209+U201),"")</f>
        <v/>
      </c>
      <c r="J209" s="1" t="str">
        <f>IF(C209,(M202)/(C209+U202),"")</f>
        <v/>
      </c>
      <c r="K209" s="14" t="str">
        <f>IF(AND(C209&lt;&gt;"",N196&lt;&gt;""),9.8*N196*LN((C209+U198)/(C209+V198)),"")</f>
        <v/>
      </c>
      <c r="L209" s="1" t="str">
        <f>IF(C209,9.8*F199*LN((C209+U199)/(C209+V199)),"")</f>
        <v/>
      </c>
      <c r="M209" s="1" t="str">
        <f>IF(C209,9.8*F200*LN((C209+U200)/(C209+V200)),"")</f>
        <v/>
      </c>
      <c r="N209" s="1" t="str">
        <f>IF(C209,9.8*F201*LN((C209+U201)/(C209+V201)),"")</f>
        <v/>
      </c>
      <c r="O209" s="1" t="str">
        <f>IF(C209,9.8*F202*LN((C209+U202)/(C209+V202)),"")</f>
        <v/>
      </c>
      <c r="P209" s="15" t="str">
        <f>IF(C209,SUM(K209:O209),"")</f>
        <v/>
      </c>
      <c r="Q209" s="1"/>
      <c r="R209" s="1"/>
      <c r="S209" s="1"/>
      <c r="T209" s="32" t="str">
        <f>IF(OR(F209&lt;1,AND(F209="",G209&lt;1)),"起飞推重比不得小于0，空天飞机除外","")</f>
        <v/>
      </c>
      <c r="U209" s="1"/>
      <c r="V209" s="1"/>
    </row>
    <row r="210" spans="1:22">
      <c r="A210" s="47"/>
      <c r="B210" s="27" t="s">
        <v>31</v>
      </c>
      <c r="C210" s="9"/>
      <c r="D210" s="1" t="str">
        <f>IF(C210,C210+Q198,"")</f>
        <v/>
      </c>
      <c r="E210" s="72" t="str">
        <f t="shared" ref="E210:E212" si="64">IF(C210,C210/D210,"")</f>
        <v/>
      </c>
      <c r="F210" s="14" t="str">
        <f>IF(AND(C210&lt;&gt;"",N196&lt;&gt;""),(M198/F198*E196+M199/F199*D196)/(C210+U198),"")</f>
        <v/>
      </c>
      <c r="G210" s="1" t="str">
        <f>IF(C210,IF(AND(F198&lt;&gt;0,C196&lt;&gt;0),M199,M199/F199*D196)/(C210+U199),"")</f>
        <v/>
      </c>
      <c r="H210" s="1" t="str">
        <f>IF(C210,(M200)/(C210+U200),"")</f>
        <v/>
      </c>
      <c r="I210" s="1" t="str">
        <f>IF(C210,(M201)/(C210+U201),"")</f>
        <v/>
      </c>
      <c r="J210" s="1" t="str">
        <f>IF(C210,(M202)/(C210+U202),"")</f>
        <v/>
      </c>
      <c r="K210" s="14" t="str">
        <f>IF(AND(C210&lt;&gt;"",N196&lt;&gt;""),9.8*N196*LN((C210+U198)/(C210+V198)),"")</f>
        <v/>
      </c>
      <c r="L210" s="1" t="str">
        <f>IF(C210,9.8*F199*LN((C210+U199)/(C210+V199)),"")</f>
        <v/>
      </c>
      <c r="M210" s="1" t="str">
        <f>IF(C210,9.8*F200*LN((C210+U200)/(C210+V200)),"")</f>
        <v/>
      </c>
      <c r="N210" s="1" t="str">
        <f>IF(C210,9.8*F201*LN((C210+U201)/(C210+V201)),"")</f>
        <v/>
      </c>
      <c r="O210" s="1" t="str">
        <f>IF(C210,9.8*F202*LN((C210+U202)/(C210+V202)),"")</f>
        <v/>
      </c>
      <c r="P210" s="15" t="str">
        <f>IF(C210,SUM(K210:O210),"")</f>
        <v/>
      </c>
      <c r="Q210" s="1"/>
      <c r="R210" s="1"/>
      <c r="S210" s="1"/>
      <c r="T210" s="32" t="str">
        <f t="shared" ref="T210:T212" si="65">IF(OR(F210&lt;1,AND(F210="",G210&lt;1)),"起飞推重比不得小于0，空天飞机除外","")</f>
        <v/>
      </c>
      <c r="U210" s="1"/>
      <c r="V210" s="1"/>
    </row>
    <row r="211" spans="1:22">
      <c r="A211" s="47"/>
      <c r="B211" s="27" t="s">
        <v>32</v>
      </c>
      <c r="C211" s="9"/>
      <c r="D211" s="1" t="str">
        <f>IF(C211,C211+Q198,"")</f>
        <v/>
      </c>
      <c r="E211" s="72" t="str">
        <f t="shared" si="64"/>
        <v/>
      </c>
      <c r="F211" s="14" t="str">
        <f>IF(AND(C211&lt;&gt;"",N196&lt;&gt;""),(M198/F198*E196+M199/F199*D196)/(C211+U198),"")</f>
        <v/>
      </c>
      <c r="G211" s="1" t="str">
        <f>IF(C211,IF(AND(F198&lt;&gt;0,C196&lt;&gt;0),M199,M199/F199*D196)/(C211+U199),"")</f>
        <v/>
      </c>
      <c r="H211" s="1" t="str">
        <f>IF(C211,(M200)/(C211+U200),"")</f>
        <v/>
      </c>
      <c r="I211" s="1" t="str">
        <f>IF(C211,(M201)/(C211+U201),"")</f>
        <v/>
      </c>
      <c r="J211" s="1" t="str">
        <f>IF(C211,(M202)/(C211+U202),"")</f>
        <v/>
      </c>
      <c r="K211" s="14" t="str">
        <f>IF(AND(C211&lt;&gt;"",N196&lt;&gt;""),9.8*N196*LN((C211+U198)/(C211+V198)),"")</f>
        <v/>
      </c>
      <c r="L211" s="1" t="str">
        <f>IF(C211,9.8*F199*LN((C211+U199)/(C211+V199)),"")</f>
        <v/>
      </c>
      <c r="M211" s="1" t="str">
        <f>IF(C211,9.8*F200*LN((C211+U200)/(C211+V200)),"")</f>
        <v/>
      </c>
      <c r="N211" s="1" t="str">
        <f>IF(C211,9.8*F201*LN((C211+U201)/(C211+V201)),"")</f>
        <v/>
      </c>
      <c r="O211" s="1" t="str">
        <f>IF(C211,9.8*F202*LN((C211+U202)/(C211+V202)),"")</f>
        <v/>
      </c>
      <c r="P211" s="15" t="str">
        <f>IF(C211,SUM(K211:O211),"")</f>
        <v/>
      </c>
      <c r="Q211" s="1"/>
      <c r="R211" s="1"/>
      <c r="S211" s="1"/>
      <c r="T211" s="32" t="str">
        <f t="shared" si="65"/>
        <v/>
      </c>
      <c r="U211" s="1"/>
      <c r="V211" s="1"/>
    </row>
    <row r="212" spans="1:22" ht="15" thickBot="1">
      <c r="A212" s="48" t="s">
        <v>46</v>
      </c>
      <c r="B212" s="49" t="s">
        <v>33</v>
      </c>
      <c r="C212" s="50"/>
      <c r="D212" s="25" t="str">
        <f>IF(C212,C212+Q198,"")</f>
        <v/>
      </c>
      <c r="E212" s="73" t="str">
        <f t="shared" si="64"/>
        <v/>
      </c>
      <c r="F212" s="70" t="str">
        <f>IF(AND(C212&lt;&gt;"",N196&lt;&gt;""),(M198/F198*E196+M199/F199*D196)/(C212+U198),"")</f>
        <v/>
      </c>
      <c r="G212" s="25" t="str">
        <f>IF(C212,IF(AND(F198&lt;&gt;0,C196&lt;&gt;0),M199,M199/F199*D196)/(C212+U199),"")</f>
        <v/>
      </c>
      <c r="H212" s="25" t="str">
        <f>IF(C212,(M200)/(C212+U200),"")</f>
        <v/>
      </c>
      <c r="I212" s="25" t="str">
        <f>IF(C212,(M201)/(C212+U201),"")</f>
        <v/>
      </c>
      <c r="J212" s="25" t="str">
        <f>IF(C212,(M202)/(C212+U202),"")</f>
        <v/>
      </c>
      <c r="K212" s="70" t="str">
        <f>IF(AND(C212&lt;&gt;"",N196&lt;&gt;""),9.8*N196*LN((C212+U198)/(C212+V198)),"")</f>
        <v/>
      </c>
      <c r="L212" s="25" t="str">
        <f>IF(C212,9.8*F199*LN((C212+U199)/(C212+V199)),"")</f>
        <v/>
      </c>
      <c r="M212" s="25" t="str">
        <f>IF(C212,9.8*F200*LN((C212+U200)/(C212+V200)),"")</f>
        <v/>
      </c>
      <c r="N212" s="25" t="str">
        <f>IF(C212,9.8*F201*LN((C212+U201)/(C212+V201)),"")</f>
        <v/>
      </c>
      <c r="O212" s="25" t="str">
        <f>IF(C212,9.8*F202*LN((C212+U202)/(C212+V202)),"")</f>
        <v/>
      </c>
      <c r="P212" s="71" t="str">
        <f>IF(C212,SUM(K212:O212),"")</f>
        <v/>
      </c>
      <c r="Q212" s="25"/>
      <c r="R212" s="25"/>
      <c r="S212" s="25"/>
      <c r="T212" s="51" t="str">
        <f t="shared" si="65"/>
        <v/>
      </c>
      <c r="U212" s="25"/>
      <c r="V212" s="25"/>
    </row>
  </sheetData>
  <mergeCells count="88">
    <mergeCell ref="T3:U3"/>
    <mergeCell ref="V3:W3"/>
    <mergeCell ref="I5:K5"/>
    <mergeCell ref="M5:O5"/>
    <mergeCell ref="N3:O3"/>
    <mergeCell ref="P3:Q3"/>
    <mergeCell ref="R3:S3"/>
    <mergeCell ref="J3:K3"/>
    <mergeCell ref="L3:M3"/>
    <mergeCell ref="D5:E5"/>
    <mergeCell ref="D3:E3"/>
    <mergeCell ref="B3:C3"/>
    <mergeCell ref="F3:G3"/>
    <mergeCell ref="H3:I3"/>
    <mergeCell ref="P6:R6"/>
    <mergeCell ref="S6:V6"/>
    <mergeCell ref="Q13:S13"/>
    <mergeCell ref="Q18:S18"/>
    <mergeCell ref="D24:E24"/>
    <mergeCell ref="I24:K24"/>
    <mergeCell ref="M24:O24"/>
    <mergeCell ref="P25:R25"/>
    <mergeCell ref="S25:V25"/>
    <mergeCell ref="Q32:S32"/>
    <mergeCell ref="Q37:S37"/>
    <mergeCell ref="D43:E43"/>
    <mergeCell ref="I43:K43"/>
    <mergeCell ref="M43:O43"/>
    <mergeCell ref="P44:R44"/>
    <mergeCell ref="S44:V44"/>
    <mergeCell ref="Q51:S51"/>
    <mergeCell ref="Q56:S56"/>
    <mergeCell ref="D62:E62"/>
    <mergeCell ref="I62:K62"/>
    <mergeCell ref="M62:O62"/>
    <mergeCell ref="P63:R63"/>
    <mergeCell ref="S63:V63"/>
    <mergeCell ref="Q70:S70"/>
    <mergeCell ref="Q75:S75"/>
    <mergeCell ref="D81:E81"/>
    <mergeCell ref="I81:K81"/>
    <mergeCell ref="M81:O81"/>
    <mergeCell ref="P82:R82"/>
    <mergeCell ref="S82:V82"/>
    <mergeCell ref="Q89:S89"/>
    <mergeCell ref="Q94:S94"/>
    <mergeCell ref="D100:E100"/>
    <mergeCell ref="I100:K100"/>
    <mergeCell ref="M100:O100"/>
    <mergeCell ref="P101:R101"/>
    <mergeCell ref="S101:V101"/>
    <mergeCell ref="Q108:S108"/>
    <mergeCell ref="Q113:S113"/>
    <mergeCell ref="D119:E119"/>
    <mergeCell ref="I119:K119"/>
    <mergeCell ref="M119:O119"/>
    <mergeCell ref="P120:R120"/>
    <mergeCell ref="S120:V120"/>
    <mergeCell ref="Q127:S127"/>
    <mergeCell ref="Q132:S132"/>
    <mergeCell ref="D138:E138"/>
    <mergeCell ref="I138:K138"/>
    <mergeCell ref="M138:O138"/>
    <mergeCell ref="D195:E195"/>
    <mergeCell ref="I195:K195"/>
    <mergeCell ref="M195:O195"/>
    <mergeCell ref="D176:E176"/>
    <mergeCell ref="I176:K176"/>
    <mergeCell ref="M176:O176"/>
    <mergeCell ref="P196:R196"/>
    <mergeCell ref="S196:V196"/>
    <mergeCell ref="Q203:S203"/>
    <mergeCell ref="Q208:S208"/>
    <mergeCell ref="P139:R139"/>
    <mergeCell ref="S139:V139"/>
    <mergeCell ref="Q146:S146"/>
    <mergeCell ref="Q151:S151"/>
    <mergeCell ref="P177:R177"/>
    <mergeCell ref="S177:V177"/>
    <mergeCell ref="Q184:S184"/>
    <mergeCell ref="Q189:S189"/>
    <mergeCell ref="Q170:S170"/>
    <mergeCell ref="Q165:S165"/>
    <mergeCell ref="D157:E157"/>
    <mergeCell ref="I157:K157"/>
    <mergeCell ref="M157:O157"/>
    <mergeCell ref="P158:R158"/>
    <mergeCell ref="S158:V158"/>
  </mergeCells>
  <phoneticPr fontId="1" type="noConversion"/>
  <conditionalFormatting sqref="P9">
    <cfRule type="expression" dxfId="533" priority="197">
      <formula>P9&lt;P8</formula>
    </cfRule>
  </conditionalFormatting>
  <conditionalFormatting sqref="T9">
    <cfRule type="expression" dxfId="532" priority="196">
      <formula>T9&lt;T8</formula>
    </cfRule>
  </conditionalFormatting>
  <conditionalFormatting sqref="L8:V12 D14:D17 F14:J17 D19:D22 F19:J22">
    <cfRule type="expression" dxfId="531" priority="195">
      <formula>ROUND(D8,3)&lt;&gt;D8</formula>
    </cfRule>
  </conditionalFormatting>
  <conditionalFormatting sqref="K14:P17 K19:P22">
    <cfRule type="expression" dxfId="530" priority="194">
      <formula>ROUND(K14,1)&lt;&gt;K14</formula>
    </cfRule>
  </conditionalFormatting>
  <conditionalFormatting sqref="L8:V12 D14:D17 F14:P17 D19:D22 F19:P22">
    <cfRule type="expression" dxfId="529" priority="193">
      <formula>D8=0</formula>
    </cfRule>
  </conditionalFormatting>
  <conditionalFormatting sqref="F14:F17 F19:F22">
    <cfRule type="expression" dxfId="528" priority="192">
      <formula>AND(T14&lt;&gt;"",F14&lt;&gt;"")</formula>
    </cfRule>
  </conditionalFormatting>
  <conditionalFormatting sqref="G14:G17 G19:G22">
    <cfRule type="expression" dxfId="527" priority="191">
      <formula>AND(T14&lt;&gt;"",F14="")</formula>
    </cfRule>
  </conditionalFormatting>
  <conditionalFormatting sqref="L6">
    <cfRule type="expression" dxfId="526" priority="185">
      <formula>ROUND(L6,3)&lt;&gt;L6</formula>
    </cfRule>
    <cfRule type="expression" dxfId="525" priority="190">
      <formula>L6=0</formula>
    </cfRule>
  </conditionalFormatting>
  <conditionalFormatting sqref="Q8">
    <cfRule type="expression" dxfId="524" priority="189">
      <formula>NOT(AND(F8&lt;&gt;0,C6&lt;&gt;0))</formula>
    </cfRule>
  </conditionalFormatting>
  <conditionalFormatting sqref="R8">
    <cfRule type="expression" dxfId="523" priority="188">
      <formula>NOT(AND(F8&lt;&gt;0,C6&lt;&gt;0))</formula>
    </cfRule>
  </conditionalFormatting>
  <conditionalFormatting sqref="U8">
    <cfRule type="expression" dxfId="522" priority="187">
      <formula>NOT(AND(F8&lt;&gt;0,C6&lt;&gt;0))</formula>
    </cfRule>
  </conditionalFormatting>
  <conditionalFormatting sqref="V8">
    <cfRule type="expression" dxfId="521" priority="186">
      <formula>NOT(AND(F8&lt;&gt;0,C6&lt;&gt;0))</formula>
    </cfRule>
  </conditionalFormatting>
  <conditionalFormatting sqref="H6">
    <cfRule type="expression" dxfId="520" priority="184">
      <formula>ROUND(IF(H6="隐藏水印。作者：战犬金龟（贴吧/B站）",1,0),1)</formula>
    </cfRule>
  </conditionalFormatting>
  <conditionalFormatting sqref="N6">
    <cfRule type="expression" dxfId="519" priority="183">
      <formula>ROUND(N6,1)&lt;&gt;N6</formula>
    </cfRule>
  </conditionalFormatting>
  <conditionalFormatting sqref="P28">
    <cfRule type="expression" dxfId="518" priority="182">
      <formula>P28&lt;P27</formula>
    </cfRule>
  </conditionalFormatting>
  <conditionalFormatting sqref="T28">
    <cfRule type="expression" dxfId="517" priority="181">
      <formula>T28&lt;T27</formula>
    </cfRule>
  </conditionalFormatting>
  <conditionalFormatting sqref="L27:V31 D33:D36 F33:J36 D38:D41 F38:J41">
    <cfRule type="expression" dxfId="516" priority="180">
      <formula>ROUND(D27,3)&lt;&gt;D27</formula>
    </cfRule>
  </conditionalFormatting>
  <conditionalFormatting sqref="K33:P36 K38:P41">
    <cfRule type="expression" dxfId="515" priority="179">
      <formula>ROUND(K33,1)&lt;&gt;K33</formula>
    </cfRule>
  </conditionalFormatting>
  <conditionalFormatting sqref="L27:V31 D33:D36 F33:P36 D38:D41 F38:P41">
    <cfRule type="expression" dxfId="514" priority="178">
      <formula>D27=0</formula>
    </cfRule>
  </conditionalFormatting>
  <conditionalFormatting sqref="F33:F36 F38:F41">
    <cfRule type="expression" dxfId="513" priority="177">
      <formula>AND(T33&lt;&gt;"",F33&lt;&gt;"")</formula>
    </cfRule>
  </conditionalFormatting>
  <conditionalFormatting sqref="G33:G36 G38:G41">
    <cfRule type="expression" dxfId="512" priority="176">
      <formula>AND(T33&lt;&gt;"",F33="")</formula>
    </cfRule>
  </conditionalFormatting>
  <conditionalFormatting sqref="L25">
    <cfRule type="expression" dxfId="511" priority="170">
      <formula>ROUND(L25,3)&lt;&gt;L25</formula>
    </cfRule>
    <cfRule type="expression" dxfId="510" priority="175">
      <formula>L25=0</formula>
    </cfRule>
  </conditionalFormatting>
  <conditionalFormatting sqref="Q27">
    <cfRule type="expression" dxfId="509" priority="174">
      <formula>NOT(AND(F27&lt;&gt;0,C25&lt;&gt;0))</formula>
    </cfRule>
  </conditionalFormatting>
  <conditionalFormatting sqref="R27">
    <cfRule type="expression" dxfId="508" priority="173">
      <formula>NOT(AND(F27&lt;&gt;0,C25&lt;&gt;0))</formula>
    </cfRule>
  </conditionalFormatting>
  <conditionalFormatting sqref="U27">
    <cfRule type="expression" dxfId="507" priority="172">
      <formula>NOT(AND(F27&lt;&gt;0,C25&lt;&gt;0))</formula>
    </cfRule>
  </conditionalFormatting>
  <conditionalFormatting sqref="V27">
    <cfRule type="expression" dxfId="506" priority="171">
      <formula>NOT(AND(F27&lt;&gt;0,C25&lt;&gt;0))</formula>
    </cfRule>
  </conditionalFormatting>
  <conditionalFormatting sqref="H25">
    <cfRule type="expression" dxfId="505" priority="169">
      <formula>ROUND(IF(H25="隐藏水印。作者：战犬金龟（贴吧/B站）",1,0),1)</formula>
    </cfRule>
  </conditionalFormatting>
  <conditionalFormatting sqref="N25">
    <cfRule type="expression" dxfId="504" priority="168">
      <formula>ROUND(N25,1)&lt;&gt;N25</formula>
    </cfRule>
  </conditionalFormatting>
  <conditionalFormatting sqref="P47">
    <cfRule type="expression" dxfId="503" priority="167">
      <formula>P47&lt;P46</formula>
    </cfRule>
  </conditionalFormatting>
  <conditionalFormatting sqref="T47">
    <cfRule type="expression" dxfId="502" priority="166">
      <formula>T47&lt;T46</formula>
    </cfRule>
  </conditionalFormatting>
  <conditionalFormatting sqref="L46:V50 D52:D55 F52:J55 D57:D60 F57:J60">
    <cfRule type="expression" dxfId="501" priority="165">
      <formula>ROUND(D46,3)&lt;&gt;D46</formula>
    </cfRule>
  </conditionalFormatting>
  <conditionalFormatting sqref="K52:P55 K57:P60">
    <cfRule type="expression" dxfId="500" priority="164">
      <formula>ROUND(K52,1)&lt;&gt;K52</formula>
    </cfRule>
  </conditionalFormatting>
  <conditionalFormatting sqref="L46:V50 D52:D55 F52:P55 D57:D60 F57:P60">
    <cfRule type="expression" dxfId="499" priority="163">
      <formula>D46=0</formula>
    </cfRule>
  </conditionalFormatting>
  <conditionalFormatting sqref="F52:F55 F57:F60">
    <cfRule type="expression" dxfId="498" priority="162">
      <formula>AND(T52&lt;&gt;"",F52&lt;&gt;"")</formula>
    </cfRule>
  </conditionalFormatting>
  <conditionalFormatting sqref="G52:G55 G57:G60">
    <cfRule type="expression" dxfId="497" priority="161">
      <formula>AND(T52&lt;&gt;"",F52="")</formula>
    </cfRule>
  </conditionalFormatting>
  <conditionalFormatting sqref="L44">
    <cfRule type="expression" dxfId="496" priority="155">
      <formula>ROUND(L44,3)&lt;&gt;L44</formula>
    </cfRule>
    <cfRule type="expression" dxfId="495" priority="160">
      <formula>L44=0</formula>
    </cfRule>
  </conditionalFormatting>
  <conditionalFormatting sqref="Q46">
    <cfRule type="expression" dxfId="494" priority="159">
      <formula>NOT(AND(F46&lt;&gt;0,C44&lt;&gt;0))</formula>
    </cfRule>
  </conditionalFormatting>
  <conditionalFormatting sqref="R46">
    <cfRule type="expression" dxfId="493" priority="158">
      <formula>NOT(AND(F46&lt;&gt;0,C44&lt;&gt;0))</formula>
    </cfRule>
  </conditionalFormatting>
  <conditionalFormatting sqref="U46">
    <cfRule type="expression" dxfId="492" priority="157">
      <formula>NOT(AND(F46&lt;&gt;0,C44&lt;&gt;0))</formula>
    </cfRule>
  </conditionalFormatting>
  <conditionalFormatting sqref="V46">
    <cfRule type="expression" dxfId="491" priority="156">
      <formula>NOT(AND(F46&lt;&gt;0,C44&lt;&gt;0))</formula>
    </cfRule>
  </conditionalFormatting>
  <conditionalFormatting sqref="H44">
    <cfRule type="expression" dxfId="490" priority="154">
      <formula>ROUND(IF(H44="隐藏水印。作者：战犬金龟（贴吧/B站）",1,0),1)</formula>
    </cfRule>
  </conditionalFormatting>
  <conditionalFormatting sqref="N44">
    <cfRule type="expression" dxfId="489" priority="153">
      <formula>ROUND(N44,1)&lt;&gt;N44</formula>
    </cfRule>
  </conditionalFormatting>
  <conditionalFormatting sqref="P66">
    <cfRule type="expression" dxfId="488" priority="152">
      <formula>P66&lt;P65</formula>
    </cfRule>
  </conditionalFormatting>
  <conditionalFormatting sqref="T66">
    <cfRule type="expression" dxfId="487" priority="151">
      <formula>T66&lt;T65</formula>
    </cfRule>
  </conditionalFormatting>
  <conditionalFormatting sqref="L65:V69 D71:D74 F71:J74 D76:D79 F76:J79">
    <cfRule type="expression" dxfId="486" priority="150">
      <formula>ROUND(D65,3)&lt;&gt;D65</formula>
    </cfRule>
  </conditionalFormatting>
  <conditionalFormatting sqref="K71:P74 K76:P79">
    <cfRule type="expression" dxfId="485" priority="149">
      <formula>ROUND(K71,1)&lt;&gt;K71</formula>
    </cfRule>
  </conditionalFormatting>
  <conditionalFormatting sqref="L65:V69 D71:D74 F71:P74 D76:D79 F76:P79">
    <cfRule type="expression" dxfId="484" priority="148">
      <formula>D65=0</formula>
    </cfRule>
  </conditionalFormatting>
  <conditionalFormatting sqref="F71:F74 F76:F79">
    <cfRule type="expression" dxfId="483" priority="147">
      <formula>AND(T71&lt;&gt;"",F71&lt;&gt;"")</formula>
    </cfRule>
  </conditionalFormatting>
  <conditionalFormatting sqref="G71:G74 G76:G79">
    <cfRule type="expression" dxfId="482" priority="146">
      <formula>AND(T71&lt;&gt;"",F71="")</formula>
    </cfRule>
  </conditionalFormatting>
  <conditionalFormatting sqref="L63">
    <cfRule type="expression" dxfId="481" priority="140">
      <formula>ROUND(L63,3)&lt;&gt;L63</formula>
    </cfRule>
    <cfRule type="expression" dxfId="480" priority="145">
      <formula>L63=0</formula>
    </cfRule>
  </conditionalFormatting>
  <conditionalFormatting sqref="Q65">
    <cfRule type="expression" dxfId="479" priority="144">
      <formula>NOT(AND(F65&lt;&gt;0,C63&lt;&gt;0))</formula>
    </cfRule>
  </conditionalFormatting>
  <conditionalFormatting sqref="R65">
    <cfRule type="expression" dxfId="478" priority="143">
      <formula>NOT(AND(F65&lt;&gt;0,C63&lt;&gt;0))</formula>
    </cfRule>
  </conditionalFormatting>
  <conditionalFormatting sqref="U65">
    <cfRule type="expression" dxfId="477" priority="142">
      <formula>NOT(AND(F65&lt;&gt;0,C63&lt;&gt;0))</formula>
    </cfRule>
  </conditionalFormatting>
  <conditionalFormatting sqref="V65">
    <cfRule type="expression" dxfId="476" priority="141">
      <formula>NOT(AND(F65&lt;&gt;0,C63&lt;&gt;0))</formula>
    </cfRule>
  </conditionalFormatting>
  <conditionalFormatting sqref="H63">
    <cfRule type="expression" dxfId="475" priority="139">
      <formula>ROUND(IF(H63="隐藏水印。作者：战犬金龟（贴吧/B站）",1,0),1)</formula>
    </cfRule>
  </conditionalFormatting>
  <conditionalFormatting sqref="N63">
    <cfRule type="expression" dxfId="474" priority="138">
      <formula>ROUND(N63,1)&lt;&gt;N63</formula>
    </cfRule>
  </conditionalFormatting>
  <conditionalFormatting sqref="P85">
    <cfRule type="expression" dxfId="473" priority="137">
      <formula>P85&lt;P84</formula>
    </cfRule>
  </conditionalFormatting>
  <conditionalFormatting sqref="T85">
    <cfRule type="expression" dxfId="472" priority="136">
      <formula>T85&lt;T84</formula>
    </cfRule>
  </conditionalFormatting>
  <conditionalFormatting sqref="L84:V88 D90:D93 F90:J93 D95:D98 F95:J98">
    <cfRule type="expression" dxfId="471" priority="135">
      <formula>ROUND(D84,3)&lt;&gt;D84</formula>
    </cfRule>
  </conditionalFormatting>
  <conditionalFormatting sqref="K90:P93 K95:P98">
    <cfRule type="expression" dxfId="470" priority="134">
      <formula>ROUND(K90,1)&lt;&gt;K90</formula>
    </cfRule>
  </conditionalFormatting>
  <conditionalFormatting sqref="L84:V88 D90:D93 F90:P93 D95:D98 F95:P98">
    <cfRule type="expression" dxfId="469" priority="133">
      <formula>D84=0</formula>
    </cfRule>
  </conditionalFormatting>
  <conditionalFormatting sqref="F90:F93 F95:F98">
    <cfRule type="expression" dxfId="468" priority="132">
      <formula>AND(T90&lt;&gt;"",F90&lt;&gt;"")</formula>
    </cfRule>
  </conditionalFormatting>
  <conditionalFormatting sqref="G90:G93 G95:G98">
    <cfRule type="expression" dxfId="467" priority="131">
      <formula>AND(T90&lt;&gt;"",F90="")</formula>
    </cfRule>
  </conditionalFormatting>
  <conditionalFormatting sqref="L82">
    <cfRule type="expression" dxfId="466" priority="125">
      <formula>ROUND(L82,3)&lt;&gt;L82</formula>
    </cfRule>
    <cfRule type="expression" dxfId="465" priority="130">
      <formula>L82=0</formula>
    </cfRule>
  </conditionalFormatting>
  <conditionalFormatting sqref="Q84">
    <cfRule type="expression" dxfId="464" priority="129">
      <formula>NOT(AND(F84&lt;&gt;0,C82&lt;&gt;0))</formula>
    </cfRule>
  </conditionalFormatting>
  <conditionalFormatting sqref="R84">
    <cfRule type="expression" dxfId="463" priority="128">
      <formula>NOT(AND(F84&lt;&gt;0,C82&lt;&gt;0))</formula>
    </cfRule>
  </conditionalFormatting>
  <conditionalFormatting sqref="U84">
    <cfRule type="expression" dxfId="462" priority="127">
      <formula>NOT(AND(F84&lt;&gt;0,C82&lt;&gt;0))</formula>
    </cfRule>
  </conditionalFormatting>
  <conditionalFormatting sqref="V84">
    <cfRule type="expression" dxfId="461" priority="126">
      <formula>NOT(AND(F84&lt;&gt;0,C82&lt;&gt;0))</formula>
    </cfRule>
  </conditionalFormatting>
  <conditionalFormatting sqref="H82">
    <cfRule type="expression" dxfId="460" priority="124">
      <formula>ROUND(IF(H82="隐藏水印。作者：战犬金龟（贴吧/B站）",1,0),1)</formula>
    </cfRule>
  </conditionalFormatting>
  <conditionalFormatting sqref="N82">
    <cfRule type="expression" dxfId="459" priority="123">
      <formula>ROUND(N82,1)&lt;&gt;N82</formula>
    </cfRule>
  </conditionalFormatting>
  <conditionalFormatting sqref="P104">
    <cfRule type="expression" dxfId="458" priority="122">
      <formula>P104&lt;P103</formula>
    </cfRule>
  </conditionalFormatting>
  <conditionalFormatting sqref="T104">
    <cfRule type="expression" dxfId="457" priority="121">
      <formula>T104&lt;T103</formula>
    </cfRule>
  </conditionalFormatting>
  <conditionalFormatting sqref="L103:V107 D109:D112 F109:J112 D114:D117 F114:J117">
    <cfRule type="expression" dxfId="456" priority="120">
      <formula>ROUND(D103,3)&lt;&gt;D103</formula>
    </cfRule>
  </conditionalFormatting>
  <conditionalFormatting sqref="K109:P112 K114:P117">
    <cfRule type="expression" dxfId="455" priority="119">
      <formula>ROUND(K109,1)&lt;&gt;K109</formula>
    </cfRule>
  </conditionalFormatting>
  <conditionalFormatting sqref="L103:V107 D109:D112 F109:P112 D114:D117 F114:P117">
    <cfRule type="expression" dxfId="454" priority="118">
      <formula>D103=0</formula>
    </cfRule>
  </conditionalFormatting>
  <conditionalFormatting sqref="F109:F112 F114:F117">
    <cfRule type="expression" dxfId="453" priority="117">
      <formula>AND(T109&lt;&gt;"",F109&lt;&gt;"")</formula>
    </cfRule>
  </conditionalFormatting>
  <conditionalFormatting sqref="G109:G112 G114:G117">
    <cfRule type="expression" dxfId="452" priority="116">
      <formula>AND(T109&lt;&gt;"",F109="")</formula>
    </cfRule>
  </conditionalFormatting>
  <conditionalFormatting sqref="L101">
    <cfRule type="expression" dxfId="451" priority="110">
      <formula>ROUND(L101,3)&lt;&gt;L101</formula>
    </cfRule>
    <cfRule type="expression" dxfId="450" priority="115">
      <formula>L101=0</formula>
    </cfRule>
  </conditionalFormatting>
  <conditionalFormatting sqref="Q103">
    <cfRule type="expression" dxfId="449" priority="114">
      <formula>NOT(AND(F103&lt;&gt;0,C101&lt;&gt;0))</formula>
    </cfRule>
  </conditionalFormatting>
  <conditionalFormatting sqref="R103">
    <cfRule type="expression" dxfId="448" priority="113">
      <formula>NOT(AND(F103&lt;&gt;0,C101&lt;&gt;0))</formula>
    </cfRule>
  </conditionalFormatting>
  <conditionalFormatting sqref="U103">
    <cfRule type="expression" dxfId="447" priority="112">
      <formula>NOT(AND(F103&lt;&gt;0,C101&lt;&gt;0))</formula>
    </cfRule>
  </conditionalFormatting>
  <conditionalFormatting sqref="V103">
    <cfRule type="expression" dxfId="446" priority="111">
      <formula>NOT(AND(F103&lt;&gt;0,C101&lt;&gt;0))</formula>
    </cfRule>
  </conditionalFormatting>
  <conditionalFormatting sqref="H101">
    <cfRule type="expression" dxfId="445" priority="109">
      <formula>ROUND(IF(H101="隐藏水印。作者：战犬金龟（贴吧/B站）",1,0),1)</formula>
    </cfRule>
  </conditionalFormatting>
  <conditionalFormatting sqref="N101">
    <cfRule type="expression" dxfId="444" priority="108">
      <formula>ROUND(N101,1)&lt;&gt;N101</formula>
    </cfRule>
  </conditionalFormatting>
  <conditionalFormatting sqref="P123">
    <cfRule type="expression" dxfId="443" priority="107">
      <formula>P123&lt;P122</formula>
    </cfRule>
  </conditionalFormatting>
  <conditionalFormatting sqref="T123">
    <cfRule type="expression" dxfId="442" priority="106">
      <formula>T123&lt;T122</formula>
    </cfRule>
  </conditionalFormatting>
  <conditionalFormatting sqref="L122:V126 D128:D131 F128:J131 D133:D136 F133:J136">
    <cfRule type="expression" dxfId="441" priority="105">
      <formula>ROUND(D122,3)&lt;&gt;D122</formula>
    </cfRule>
  </conditionalFormatting>
  <conditionalFormatting sqref="K128:P131 K133:P136">
    <cfRule type="expression" dxfId="440" priority="104">
      <formula>ROUND(K128,1)&lt;&gt;K128</formula>
    </cfRule>
  </conditionalFormatting>
  <conditionalFormatting sqref="L122:V126 D128:D131 F128:P131 D133:D136 F133:P136">
    <cfRule type="expression" dxfId="439" priority="103">
      <formula>D122=0</formula>
    </cfRule>
  </conditionalFormatting>
  <conditionalFormatting sqref="F128:F131 F133:F136">
    <cfRule type="expression" dxfId="438" priority="102">
      <formula>AND(T128&lt;&gt;"",F128&lt;&gt;"")</formula>
    </cfRule>
  </conditionalFormatting>
  <conditionalFormatting sqref="G128:G131 G133:G136">
    <cfRule type="expression" dxfId="437" priority="101">
      <formula>AND(T128&lt;&gt;"",F128="")</formula>
    </cfRule>
  </conditionalFormatting>
  <conditionalFormatting sqref="L120">
    <cfRule type="expression" dxfId="436" priority="95">
      <formula>ROUND(L120,3)&lt;&gt;L120</formula>
    </cfRule>
    <cfRule type="expression" dxfId="435" priority="100">
      <formula>L120=0</formula>
    </cfRule>
  </conditionalFormatting>
  <conditionalFormatting sqref="Q122">
    <cfRule type="expression" dxfId="434" priority="99">
      <formula>NOT(AND(F122&lt;&gt;0,C120&lt;&gt;0))</formula>
    </cfRule>
  </conditionalFormatting>
  <conditionalFormatting sqref="R122">
    <cfRule type="expression" dxfId="433" priority="98">
      <formula>NOT(AND(F122&lt;&gt;0,C120&lt;&gt;0))</formula>
    </cfRule>
  </conditionalFormatting>
  <conditionalFormatting sqref="U122">
    <cfRule type="expression" dxfId="432" priority="97">
      <formula>NOT(AND(F122&lt;&gt;0,C120&lt;&gt;0))</formula>
    </cfRule>
  </conditionalFormatting>
  <conditionalFormatting sqref="V122">
    <cfRule type="expression" dxfId="431" priority="96">
      <formula>NOT(AND(F122&lt;&gt;0,C120&lt;&gt;0))</formula>
    </cfRule>
  </conditionalFormatting>
  <conditionalFormatting sqref="H120">
    <cfRule type="expression" dxfId="430" priority="94">
      <formula>ROUND(IF(H120="隐藏水印。作者：战犬金龟（贴吧/B站）",1,0),1)</formula>
    </cfRule>
  </conditionalFormatting>
  <conditionalFormatting sqref="N120">
    <cfRule type="expression" dxfId="429" priority="93">
      <formula>ROUND(N120,1)&lt;&gt;N120</formula>
    </cfRule>
  </conditionalFormatting>
  <conditionalFormatting sqref="P142">
    <cfRule type="expression" dxfId="428" priority="92">
      <formula>P142&lt;P141</formula>
    </cfRule>
  </conditionalFormatting>
  <conditionalFormatting sqref="T142">
    <cfRule type="expression" dxfId="427" priority="91">
      <formula>T142&lt;T141</formula>
    </cfRule>
  </conditionalFormatting>
  <conditionalFormatting sqref="L141:V145 D147:D150 F147:J150 D152:D156 F152:J156 F175:J175 D175">
    <cfRule type="expression" dxfId="426" priority="90">
      <formula>ROUND(D141,3)&lt;&gt;D141</formula>
    </cfRule>
  </conditionalFormatting>
  <conditionalFormatting sqref="K147:P150 K152:P156 K175:P175">
    <cfRule type="expression" dxfId="425" priority="89">
      <formula>ROUND(K147,1)&lt;&gt;K147</formula>
    </cfRule>
  </conditionalFormatting>
  <conditionalFormatting sqref="L141:V145 D147:D150 F147:P150 D152:D156 F152:P156 F175:P175 D175">
    <cfRule type="expression" dxfId="424" priority="88">
      <formula>D141=0</formula>
    </cfRule>
  </conditionalFormatting>
  <conditionalFormatting sqref="F147:F150 F152:F156 F175">
    <cfRule type="expression" dxfId="423" priority="87">
      <formula>AND(T147&lt;&gt;"",F147&lt;&gt;"")</formula>
    </cfRule>
  </conditionalFormatting>
  <conditionalFormatting sqref="G147:G150 G152:G156 G175">
    <cfRule type="expression" dxfId="422" priority="86">
      <formula>AND(T147&lt;&gt;"",F147="")</formula>
    </cfRule>
  </conditionalFormatting>
  <conditionalFormatting sqref="L139">
    <cfRule type="expression" dxfId="421" priority="80">
      <formula>ROUND(L139,3)&lt;&gt;L139</formula>
    </cfRule>
    <cfRule type="expression" dxfId="420" priority="85">
      <formula>L139=0</formula>
    </cfRule>
  </conditionalFormatting>
  <conditionalFormatting sqref="Q141">
    <cfRule type="expression" dxfId="419" priority="84">
      <formula>NOT(AND(F141&lt;&gt;0,C139&lt;&gt;0))</formula>
    </cfRule>
  </conditionalFormatting>
  <conditionalFormatting sqref="R141">
    <cfRule type="expression" dxfId="418" priority="83">
      <formula>NOT(AND(F141&lt;&gt;0,C139&lt;&gt;0))</formula>
    </cfRule>
  </conditionalFormatting>
  <conditionalFormatting sqref="U141">
    <cfRule type="expression" dxfId="417" priority="82">
      <formula>NOT(AND(F141&lt;&gt;0,C139&lt;&gt;0))</formula>
    </cfRule>
  </conditionalFormatting>
  <conditionalFormatting sqref="V141">
    <cfRule type="expression" dxfId="416" priority="81">
      <formula>NOT(AND(F141&lt;&gt;0,C139&lt;&gt;0))</formula>
    </cfRule>
  </conditionalFormatting>
  <conditionalFormatting sqref="H139">
    <cfRule type="expression" dxfId="415" priority="79">
      <formula>ROUND(IF(H139="隐藏水印。作者：战犬金龟（贴吧/B站）",1,0),1)</formula>
    </cfRule>
  </conditionalFormatting>
  <conditionalFormatting sqref="N139">
    <cfRule type="expression" dxfId="414" priority="78">
      <formula>ROUND(N139,1)&lt;&gt;N139</formula>
    </cfRule>
  </conditionalFormatting>
  <conditionalFormatting sqref="P199">
    <cfRule type="expression" dxfId="413" priority="77">
      <formula>P199&lt;P198</formula>
    </cfRule>
  </conditionalFormatting>
  <conditionalFormatting sqref="T199">
    <cfRule type="expression" dxfId="412" priority="76">
      <formula>T199&lt;T198</formula>
    </cfRule>
  </conditionalFormatting>
  <conditionalFormatting sqref="L198:V202 D204:D207 F204:J207 D209:D212 F209:J212">
    <cfRule type="expression" dxfId="411" priority="75">
      <formula>ROUND(D198,3)&lt;&gt;D198</formula>
    </cfRule>
  </conditionalFormatting>
  <conditionalFormatting sqref="K204:P207 K209:P212">
    <cfRule type="expression" dxfId="410" priority="74">
      <formula>ROUND(K204,1)&lt;&gt;K204</formula>
    </cfRule>
  </conditionalFormatting>
  <conditionalFormatting sqref="L198:V202 D204:D207 F204:P207 D209:D212 F209:P212">
    <cfRule type="expression" dxfId="409" priority="73">
      <formula>D198=0</formula>
    </cfRule>
  </conditionalFormatting>
  <conditionalFormatting sqref="F204:F207 F209:F212">
    <cfRule type="expression" dxfId="408" priority="72">
      <formula>AND(T204&lt;&gt;"",F204&lt;&gt;"")</formula>
    </cfRule>
  </conditionalFormatting>
  <conditionalFormatting sqref="G204:G207 G209:G212">
    <cfRule type="expression" dxfId="407" priority="71">
      <formula>AND(T204&lt;&gt;"",F204="")</formula>
    </cfRule>
  </conditionalFormatting>
  <conditionalFormatting sqref="L196">
    <cfRule type="expression" dxfId="406" priority="65">
      <formula>ROUND(L196,3)&lt;&gt;L196</formula>
    </cfRule>
    <cfRule type="expression" dxfId="405" priority="70">
      <formula>L196=0</formula>
    </cfRule>
  </conditionalFormatting>
  <conditionalFormatting sqref="Q198">
    <cfRule type="expression" dxfId="404" priority="69">
      <formula>NOT(AND(F198&lt;&gt;0,C196&lt;&gt;0))</formula>
    </cfRule>
  </conditionalFormatting>
  <conditionalFormatting sqref="R198">
    <cfRule type="expression" dxfId="403" priority="68">
      <formula>NOT(AND(F198&lt;&gt;0,C196&lt;&gt;0))</formula>
    </cfRule>
  </conditionalFormatting>
  <conditionalFormatting sqref="U198">
    <cfRule type="expression" dxfId="402" priority="67">
      <formula>NOT(AND(F198&lt;&gt;0,C196&lt;&gt;0))</formula>
    </cfRule>
  </conditionalFormatting>
  <conditionalFormatting sqref="V198">
    <cfRule type="expression" dxfId="401" priority="66">
      <formula>NOT(AND(F198&lt;&gt;0,C196&lt;&gt;0))</formula>
    </cfRule>
  </conditionalFormatting>
  <conditionalFormatting sqref="H196">
    <cfRule type="expression" dxfId="400" priority="64">
      <formula>ROUND(IF(H196="隐藏水印。作者：战犬金龟（贴吧/B站）",1,0),1)</formula>
    </cfRule>
  </conditionalFormatting>
  <conditionalFormatting sqref="N196">
    <cfRule type="expression" dxfId="399" priority="63">
      <formula>ROUND(N196,1)&lt;&gt;N196</formula>
    </cfRule>
  </conditionalFormatting>
  <conditionalFormatting sqref="B3:W3">
    <cfRule type="expression" dxfId="398" priority="31">
      <formula>B3=0</formula>
    </cfRule>
  </conditionalFormatting>
  <conditionalFormatting sqref="P161">
    <cfRule type="expression" dxfId="397" priority="30">
      <formula>P161&lt;P160</formula>
    </cfRule>
  </conditionalFormatting>
  <conditionalFormatting sqref="T161">
    <cfRule type="expression" dxfId="396" priority="29">
      <formula>T161&lt;T160</formula>
    </cfRule>
  </conditionalFormatting>
  <conditionalFormatting sqref="L160:V164 D166:D169 F166:J169 D171:D174 F171:J174">
    <cfRule type="expression" dxfId="395" priority="28">
      <formula>ROUND(D160,3)&lt;&gt;D160</formula>
    </cfRule>
  </conditionalFormatting>
  <conditionalFormatting sqref="K166:P169 K171:P174">
    <cfRule type="expression" dxfId="394" priority="27">
      <formula>ROUND(K166,1)&lt;&gt;K166</formula>
    </cfRule>
  </conditionalFormatting>
  <conditionalFormatting sqref="L160:V164 D166:D169 F166:P169 D171:D174 F171:P174">
    <cfRule type="expression" dxfId="393" priority="26">
      <formula>D160=0</formula>
    </cfRule>
  </conditionalFormatting>
  <conditionalFormatting sqref="F166:F169 F171:F174">
    <cfRule type="expression" dxfId="392" priority="25">
      <formula>AND(T166&lt;&gt;"",F166&lt;&gt;"")</formula>
    </cfRule>
  </conditionalFormatting>
  <conditionalFormatting sqref="G166:G169 G171:G174">
    <cfRule type="expression" dxfId="391" priority="24">
      <formula>AND(T166&lt;&gt;"",F166="")</formula>
    </cfRule>
  </conditionalFormatting>
  <conditionalFormatting sqref="L158">
    <cfRule type="expression" dxfId="390" priority="18">
      <formula>ROUND(L158,3)&lt;&gt;L158</formula>
    </cfRule>
    <cfRule type="expression" dxfId="389" priority="23">
      <formula>L158=0</formula>
    </cfRule>
  </conditionalFormatting>
  <conditionalFormatting sqref="Q160">
    <cfRule type="expression" dxfId="388" priority="22">
      <formula>NOT(AND(F160&lt;&gt;0,C158&lt;&gt;0))</formula>
    </cfRule>
  </conditionalFormatting>
  <conditionalFormatting sqref="R160">
    <cfRule type="expression" dxfId="387" priority="21">
      <formula>NOT(AND(F160&lt;&gt;0,C158&lt;&gt;0))</formula>
    </cfRule>
  </conditionalFormatting>
  <conditionalFormatting sqref="U160">
    <cfRule type="expression" dxfId="386" priority="20">
      <formula>NOT(AND(F160&lt;&gt;0,C158&lt;&gt;0))</formula>
    </cfRule>
  </conditionalFormatting>
  <conditionalFormatting sqref="V160">
    <cfRule type="expression" dxfId="385" priority="19">
      <formula>NOT(AND(F160&lt;&gt;0,C158&lt;&gt;0))</formula>
    </cfRule>
  </conditionalFormatting>
  <conditionalFormatting sqref="H158">
    <cfRule type="expression" dxfId="384" priority="17">
      <formula>ROUND(IF(H158="隐藏水印。作者：战犬金龟（贴吧/B站）",1,0),1)</formula>
    </cfRule>
  </conditionalFormatting>
  <conditionalFormatting sqref="N158">
    <cfRule type="expression" dxfId="383" priority="16">
      <formula>ROUND(N158,1)&lt;&gt;N158</formula>
    </cfRule>
  </conditionalFormatting>
  <conditionalFormatting sqref="P180">
    <cfRule type="expression" dxfId="382" priority="15">
      <formula>P180&lt;P179</formula>
    </cfRule>
  </conditionalFormatting>
  <conditionalFormatting sqref="T180">
    <cfRule type="expression" dxfId="381" priority="14">
      <formula>T180&lt;T179</formula>
    </cfRule>
  </conditionalFormatting>
  <conditionalFormatting sqref="L179:V183 D185:D188 F185:J188 D190:D193 F190:J193">
    <cfRule type="expression" dxfId="380" priority="13">
      <formula>ROUND(D179,3)&lt;&gt;D179</formula>
    </cfRule>
  </conditionalFormatting>
  <conditionalFormatting sqref="K185:P188 K190:P193">
    <cfRule type="expression" dxfId="379" priority="12">
      <formula>ROUND(K185,1)&lt;&gt;K185</formula>
    </cfRule>
  </conditionalFormatting>
  <conditionalFormatting sqref="L179:V183 D185:D188 F185:P188 D190:D193 F190:P193">
    <cfRule type="expression" dxfId="378" priority="11">
      <formula>D179=0</formula>
    </cfRule>
  </conditionalFormatting>
  <conditionalFormatting sqref="F185:F188 F190:F193">
    <cfRule type="expression" dxfId="377" priority="10">
      <formula>AND(T185&lt;&gt;"",F185&lt;&gt;"")</formula>
    </cfRule>
  </conditionalFormatting>
  <conditionalFormatting sqref="G185:G188 G190:G193">
    <cfRule type="expression" dxfId="376" priority="9">
      <formula>AND(T185&lt;&gt;"",F185="")</formula>
    </cfRule>
  </conditionalFormatting>
  <conditionalFormatting sqref="L177">
    <cfRule type="expression" dxfId="375" priority="3">
      <formula>ROUND(L177,3)&lt;&gt;L177</formula>
    </cfRule>
    <cfRule type="expression" dxfId="374" priority="8">
      <formula>L177=0</formula>
    </cfRule>
  </conditionalFormatting>
  <conditionalFormatting sqref="Q179">
    <cfRule type="expression" dxfId="373" priority="7">
      <formula>NOT(AND(F179&lt;&gt;0,C177&lt;&gt;0))</formula>
    </cfRule>
  </conditionalFormatting>
  <conditionalFormatting sqref="R179">
    <cfRule type="expression" dxfId="372" priority="6">
      <formula>NOT(AND(F179&lt;&gt;0,C177&lt;&gt;0))</formula>
    </cfRule>
  </conditionalFormatting>
  <conditionalFormatting sqref="U179">
    <cfRule type="expression" dxfId="371" priority="5">
      <formula>NOT(AND(F179&lt;&gt;0,C177&lt;&gt;0))</formula>
    </cfRule>
  </conditionalFormatting>
  <conditionalFormatting sqref="V179">
    <cfRule type="expression" dxfId="370" priority="4">
      <formula>NOT(AND(F179&lt;&gt;0,C177&lt;&gt;0))</formula>
    </cfRule>
  </conditionalFormatting>
  <conditionalFormatting sqref="H177">
    <cfRule type="expression" dxfId="369" priority="2">
      <formula>ROUND(IF(H177="隐藏水印。作者：战犬金龟（贴吧/B站）",1,0),1)</formula>
    </cfRule>
  </conditionalFormatting>
  <conditionalFormatting sqref="N177">
    <cfRule type="expression" dxfId="368" priority="1">
      <formula>ROUND(N177,1)&lt;&gt;N177</formula>
    </cfRule>
  </conditionalFormatting>
  <hyperlinks>
    <hyperlink ref="I7" r:id="rId1"/>
    <hyperlink ref="I26" r:id="rId2"/>
    <hyperlink ref="I45" r:id="rId3"/>
    <hyperlink ref="I64" r:id="rId4"/>
    <hyperlink ref="I83" r:id="rId5"/>
    <hyperlink ref="I102" r:id="rId6"/>
    <hyperlink ref="I121" r:id="rId7"/>
    <hyperlink ref="I140" r:id="rId8"/>
    <hyperlink ref="I197" r:id="rId9"/>
    <hyperlink ref="I178" r:id="rId10"/>
    <hyperlink ref="I159" r:id="rId11"/>
    <hyperlink ref="I49" r:id="rId12"/>
  </hyperlinks>
  <pageMargins left="0.7" right="0.7" top="0.75" bottom="0.75" header="0.3" footer="0.3"/>
  <pageSetup paperSize="9" orientation="portrait" r:id="rId1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0" id="{13F5A7E0-B7DB-4834-96F5-65ADCE69D3EF}">
            <xm:f>ROUND(模板!D175,3)&lt;&gt;模板!D175</xm:f>
            <x14:dxf>
              <numFmt numFmtId="178" formatCode="0.000"/>
            </x14:dxf>
          </x14:cfRule>
          <xm:sqref>D194 F194:J194</xm:sqref>
        </x14:conditionalFormatting>
        <x14:conditionalFormatting xmlns:xm="http://schemas.microsoft.com/office/excel/2006/main">
          <x14:cfRule type="expression" priority="59" id="{AA971170-8729-4E24-B0F3-B7FDCFE19B87}">
            <xm:f>ROUND(模板!K175,1)&lt;&gt;模板!K175</xm:f>
            <x14:dxf>
              <numFmt numFmtId="177" formatCode="0.0"/>
            </x14:dxf>
          </x14:cfRule>
          <xm:sqref>K194:P194</xm:sqref>
        </x14:conditionalFormatting>
        <x14:conditionalFormatting xmlns:xm="http://schemas.microsoft.com/office/excel/2006/main">
          <x14:cfRule type="expression" priority="58" id="{34D8C3DE-C49D-4359-874B-EBB590098781}">
            <xm:f>模板!D175=0</xm:f>
            <x14:dxf>
              <font>
                <color theme="0"/>
              </font>
            </x14:dxf>
          </x14:cfRule>
          <xm:sqref>D194 F194:P194</xm:sqref>
        </x14:conditionalFormatting>
        <x14:conditionalFormatting xmlns:xm="http://schemas.microsoft.com/office/excel/2006/main">
          <x14:cfRule type="expression" priority="57" id="{BDEDB481-D69E-438C-8DD2-C89115785C26}">
            <xm:f>AND(模板!T175&lt;&gt;"",模板!F175&lt;&gt;"")</xm:f>
            <x14:dxf>
              <font>
                <color rgb="FFFF0000"/>
              </font>
              <fill>
                <patternFill>
                  <bgColor theme="5" tint="0.79998168889431442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expression" priority="56" id="{E65CEFFB-BC35-49DC-BD97-E0666CABA81D}">
            <xm:f>AND(模板!T175&lt;&gt;"",模板!F175="")</xm:f>
            <x14:dxf>
              <font>
                <color rgb="FFFF0000"/>
              </font>
              <fill>
                <patternFill>
                  <bgColor theme="5" tint="0.79998168889431442"/>
                </patternFill>
              </fill>
            </x14:dxf>
          </x14:cfRule>
          <xm:sqref>G194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5"/>
  <sheetViews>
    <sheetView workbookViewId="0">
      <selection activeCell="W4" sqref="W4"/>
    </sheetView>
  </sheetViews>
  <sheetFormatPr defaultRowHeight="14.4"/>
  <sheetData>
    <row r="1" spans="1:23">
      <c r="A1" s="57" t="s">
        <v>75</v>
      </c>
    </row>
    <row r="3" spans="1:23">
      <c r="A3" s="57" t="s">
        <v>300</v>
      </c>
      <c r="B3" s="92" t="str">
        <f ca="1">HYPERLINK("#A5",INDIRECT("A5"))</f>
        <v>3.8m开式甲烷</v>
      </c>
      <c r="C3" s="93"/>
      <c r="D3" s="92" t="str">
        <f ca="1">HYPERLINK("#A24",INDIRECT("A24"))</f>
        <v>4m开式甲烷</v>
      </c>
      <c r="E3" s="93"/>
      <c r="F3" s="92" t="str">
        <f ca="1">HYPERLINK("#A43",INDIRECT("A43"))</f>
        <v>7m开式甲烷</v>
      </c>
      <c r="G3" s="92"/>
      <c r="H3" s="92" t="str">
        <f ca="1">HYPERLINK("#A62",INDIRECT("A62"))</f>
        <v>5m全流量甲烷</v>
      </c>
      <c r="I3" s="93"/>
      <c r="J3" s="92" t="str">
        <f ca="1">HYPERLINK("#A81",INDIRECT("A81"))</f>
        <v>7.5m全流量甲烷</v>
      </c>
      <c r="K3" s="93"/>
      <c r="L3" s="92" t="str">
        <f ca="1">HYPERLINK("#A100",INDIRECT("A100"))</f>
        <v>7m全流量甲烷</v>
      </c>
      <c r="M3" s="93"/>
      <c r="N3" s="92" t="str">
        <f ca="1">HYPERLINK("#A119",INDIRECT("A119"))</f>
        <v>3.8m煤油</v>
      </c>
      <c r="O3" s="93"/>
      <c r="P3" s="92" t="str">
        <f ca="1">HYPERLINK("#A138",INDIRECT("A138"))</f>
        <v>3.8m煤油5CBC</v>
      </c>
      <c r="Q3" s="93"/>
      <c r="R3" s="92">
        <f ca="1">HYPERLINK("#A157",INDIRECT("A157"))</f>
        <v>0</v>
      </c>
      <c r="S3" s="93"/>
      <c r="T3" s="92">
        <f ca="1">HYPERLINK("#A176",INDIRECT("A176"))</f>
        <v>0</v>
      </c>
      <c r="U3" s="93"/>
      <c r="V3" s="92">
        <f ca="1">HYPERLINK("#A195",INDIRECT("A195"))</f>
        <v>0</v>
      </c>
      <c r="W3" s="93"/>
    </row>
    <row r="4" spans="1:23" ht="15" thickBot="1"/>
    <row r="5" spans="1:23" ht="15" thickBot="1">
      <c r="A5" s="52" t="s">
        <v>394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399</v>
      </c>
      <c r="B6" s="39"/>
      <c r="C6" s="2">
        <v>0</v>
      </c>
      <c r="D6" s="2">
        <v>293</v>
      </c>
      <c r="E6" s="2">
        <v>0</v>
      </c>
      <c r="F6" s="41"/>
      <c r="G6" s="42"/>
      <c r="H6" s="42"/>
      <c r="I6" s="24" t="s">
        <v>412</v>
      </c>
      <c r="J6" s="24"/>
      <c r="K6" s="24"/>
      <c r="L6" s="55">
        <f>IFERROR(IF(AND(F8&lt;&gt;0,C6&lt;&gt;0),M8/F8*E6+M9/F9*D6,M9/F9*D6),0)</f>
        <v>352.67522935779817</v>
      </c>
      <c r="M6" s="53" t="s">
        <v>45</v>
      </c>
      <c r="N6" s="17" t="str">
        <f>IF(AND(F8&lt;&gt;0,C6&lt;&gt;0),(M8+M9)/(M8/F8+M9/F9),"")</f>
        <v/>
      </c>
      <c r="O6" s="56" t="s">
        <v>46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60" t="str">
        <f>HYPERLINK(":\Reference\垂直起降重复使用液氧甲烷运载火箭发展路线探讨.pdf","垂直起降重复使用液氧甲烷运载火箭发展路线探讨.pdf")</f>
        <v>垂直起降重复使用液氧甲烷运载火箭发展路线探讨.pdf</v>
      </c>
      <c r="J7" s="24"/>
      <c r="K7" s="24"/>
      <c r="L7" s="11" t="s">
        <v>6</v>
      </c>
      <c r="M7" s="12" t="s">
        <v>69</v>
      </c>
      <c r="N7" s="12" t="s">
        <v>15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16</v>
      </c>
      <c r="U7" s="1" t="s">
        <v>10</v>
      </c>
      <c r="V7" s="1" t="s">
        <v>11</v>
      </c>
    </row>
    <row r="8" spans="1:23">
      <c r="A8" s="40"/>
      <c r="B8" s="27" t="s">
        <v>3</v>
      </c>
      <c r="C8" s="3"/>
      <c r="D8" s="4"/>
      <c r="E8" s="4"/>
      <c r="F8" s="4"/>
      <c r="G8" s="19"/>
      <c r="H8" s="20"/>
      <c r="I8" s="24"/>
      <c r="J8" s="24"/>
      <c r="K8" s="24"/>
      <c r="L8" s="14">
        <f>C8*C6</f>
        <v>0</v>
      </c>
      <c r="M8" s="1">
        <f>E8*C6</f>
        <v>0</v>
      </c>
      <c r="N8" s="1">
        <f>IF(D8,L8/D8,0)</f>
        <v>0</v>
      </c>
      <c r="O8" s="15">
        <f>L8-N8</f>
        <v>0</v>
      </c>
      <c r="P8" s="14">
        <f>IF(AND(F8&lt;&gt;0,C6&lt;&gt;0),O8/M8*F8/IF(G8,G8,1),0)</f>
        <v>0</v>
      </c>
      <c r="Q8" s="1">
        <f>SUM(L8:L12)</f>
        <v>270</v>
      </c>
      <c r="R8" s="15">
        <f>N8+Q9</f>
        <v>270</v>
      </c>
      <c r="S8" s="14">
        <f>N8+H8*O8</f>
        <v>0</v>
      </c>
      <c r="T8" s="1">
        <f>IF(AND(F8&lt;&gt;0,C6&lt;&gt;0),(1-H8)*O8/M8*F8/IF(G8,G8,1),0)</f>
        <v>0</v>
      </c>
      <c r="U8" s="1">
        <f>SUM(L8:L12)</f>
        <v>270</v>
      </c>
      <c r="V8" s="1">
        <f>S8+U9</f>
        <v>270</v>
      </c>
    </row>
    <row r="9" spans="1:23">
      <c r="A9" s="47"/>
      <c r="B9" s="27">
        <v>1</v>
      </c>
      <c r="C9" s="5">
        <v>205</v>
      </c>
      <c r="D9" s="1">
        <v>14</v>
      </c>
      <c r="E9" s="1">
        <v>393.6</v>
      </c>
      <c r="F9" s="1">
        <v>327</v>
      </c>
      <c r="G9" s="5">
        <v>1</v>
      </c>
      <c r="H9" s="21">
        <v>0.123</v>
      </c>
      <c r="I9" s="30" t="s">
        <v>410</v>
      </c>
      <c r="J9" s="30"/>
      <c r="K9" s="30"/>
      <c r="L9" s="14">
        <f>C9</f>
        <v>205</v>
      </c>
      <c r="M9" s="1">
        <f>E9</f>
        <v>393.6</v>
      </c>
      <c r="N9" s="1">
        <f>IF(D9,L9/D9,0)</f>
        <v>14.642857142857142</v>
      </c>
      <c r="O9" s="15">
        <f>L9-N9</f>
        <v>190.35714285714286</v>
      </c>
      <c r="P9" s="14">
        <f t="shared" ref="P9:P12" si="0">IF(F9,O9/M9*F9/IF(G9,G9,1),0)</f>
        <v>158.14732142857142</v>
      </c>
      <c r="Q9" s="1">
        <f>IF(F9,SUM(L9:L12)-P8*M9/F9*IF(G9,G9,1),0)</f>
        <v>270</v>
      </c>
      <c r="R9" s="15">
        <f>N9+Q10</f>
        <v>79.642857142857139</v>
      </c>
      <c r="S9" s="14">
        <f>N9+H9*O9</f>
        <v>38.056785714285709</v>
      </c>
      <c r="T9" s="1">
        <f>IF(F9,(1-H9)*O9/M9*F9/IF(G9,G9,1),0)</f>
        <v>138.69520089285712</v>
      </c>
      <c r="U9" s="1">
        <f>IF(F9,SUM(L9:L12)-T8*M9/F9*IF(G9,G9,1),0)</f>
        <v>270</v>
      </c>
      <c r="V9" s="1">
        <f>S9+U10</f>
        <v>103.05678571428571</v>
      </c>
    </row>
    <row r="10" spans="1:23">
      <c r="A10" s="47"/>
      <c r="B10" s="27">
        <v>2</v>
      </c>
      <c r="C10" s="5">
        <v>65</v>
      </c>
      <c r="D10" s="1">
        <v>12.5</v>
      </c>
      <c r="E10" s="1">
        <v>84.3</v>
      </c>
      <c r="F10" s="1">
        <v>350</v>
      </c>
      <c r="G10" s="5"/>
      <c r="H10" s="21"/>
      <c r="I10" s="30" t="s">
        <v>411</v>
      </c>
      <c r="J10" s="30"/>
      <c r="K10" s="30"/>
      <c r="L10" s="14">
        <f>C10</f>
        <v>65</v>
      </c>
      <c r="M10" s="1">
        <f>E10</f>
        <v>84.3</v>
      </c>
      <c r="N10" s="1">
        <f>IF(D10,L10/D10,0)</f>
        <v>5.2</v>
      </c>
      <c r="O10" s="15">
        <f>L10-N10</f>
        <v>59.8</v>
      </c>
      <c r="P10" s="14">
        <f t="shared" si="0"/>
        <v>248.27995255041517</v>
      </c>
      <c r="Q10" s="1">
        <f>SUM(L10:L12)</f>
        <v>65</v>
      </c>
      <c r="R10" s="15">
        <f>N10+Q11</f>
        <v>5.2</v>
      </c>
      <c r="S10" s="14">
        <f>N10+H10*O10</f>
        <v>5.2</v>
      </c>
      <c r="T10" s="1">
        <f t="shared" ref="T10:T12" si="1">IF(F10,(1-H10)*O10/M10*F10/IF(G10,G10,1),0)</f>
        <v>248.27995255041517</v>
      </c>
      <c r="U10" s="1">
        <f>SUM(L10:L12)</f>
        <v>65</v>
      </c>
      <c r="V10" s="1">
        <f>S10+U11</f>
        <v>5.2</v>
      </c>
    </row>
    <row r="11" spans="1:23">
      <c r="A11" s="33" t="s">
        <v>45</v>
      </c>
      <c r="B11" s="27">
        <v>3</v>
      </c>
      <c r="C11" s="5"/>
      <c r="D11" s="1"/>
      <c r="E11" s="1"/>
      <c r="F11" s="1"/>
      <c r="G11" s="5"/>
      <c r="H11" s="21"/>
      <c r="I11" s="30"/>
      <c r="J11" s="30"/>
      <c r="K11" s="30"/>
      <c r="L11" s="14">
        <f>C11</f>
        <v>0</v>
      </c>
      <c r="M11" s="1">
        <f>E11</f>
        <v>0</v>
      </c>
      <c r="N11" s="1">
        <f>IF(D11,L11/D11,0)</f>
        <v>0</v>
      </c>
      <c r="O11" s="15">
        <f>L11-N11</f>
        <v>0</v>
      </c>
      <c r="P11" s="14">
        <f t="shared" si="0"/>
        <v>0</v>
      </c>
      <c r="Q11" s="1">
        <f>SUM(L11:L12)</f>
        <v>0</v>
      </c>
      <c r="R11" s="15">
        <f>N11+Q12</f>
        <v>0</v>
      </c>
      <c r="S11" s="14">
        <f>N11+H11*O11</f>
        <v>0</v>
      </c>
      <c r="T11" s="1">
        <f t="shared" si="1"/>
        <v>0</v>
      </c>
      <c r="U11" s="1">
        <f>SUM(L11:L12)</f>
        <v>0</v>
      </c>
      <c r="V11" s="1">
        <f>S11+U12</f>
        <v>0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24"/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265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85" t="s">
        <v>42</v>
      </c>
      <c r="R13" s="85"/>
      <c r="S13" s="85"/>
      <c r="T13" s="31" t="s">
        <v>50</v>
      </c>
      <c r="U13" s="35" t="s">
        <v>47</v>
      </c>
      <c r="V13" s="36" t="s">
        <v>264</v>
      </c>
    </row>
    <row r="14" spans="1:23">
      <c r="A14" s="47"/>
      <c r="B14" s="27" t="s">
        <v>30</v>
      </c>
      <c r="C14" s="8">
        <v>7.8</v>
      </c>
      <c r="D14" s="1">
        <f>IF(C14,C14+Q8,"")</f>
        <v>277.8</v>
      </c>
      <c r="E14" s="72">
        <f>IF(C14,C14/D14,"")</f>
        <v>2.8077753779697623E-2</v>
      </c>
      <c r="F14" s="14" t="str">
        <f>IF(AND(C14&lt;&gt;"",N6&lt;&gt;""),(M8/F8*E6+M9/F9*D6)/(C14+Q8),"")</f>
        <v/>
      </c>
      <c r="G14" s="1">
        <f>IF(C14,IF(AND(F8&lt;&gt;0,C6&lt;&gt;0),M9,M9/F9*D6)/(C14+Q9),"")</f>
        <v>1.2695292633470057</v>
      </c>
      <c r="H14" s="1">
        <f>IF(C14,(M10)/(C14+Q10),"")</f>
        <v>1.1579670329670331</v>
      </c>
      <c r="I14" s="1">
        <f>IF(C14,(M11)/(C14+Q11),"")</f>
        <v>0</v>
      </c>
      <c r="J14" s="1">
        <f>IF(C14,(M12)/(C14+Q12),"")</f>
        <v>0</v>
      </c>
      <c r="K14" s="14" t="str">
        <f>IF(AND(C14&lt;&gt;"",N6&lt;&gt;""),9.8*N6*LN((C14+Q8)/(C14+R8)),"")</f>
        <v/>
      </c>
      <c r="L14" s="1">
        <f>IF(C14,9.8*F9*LN((C14+Q9)/(C14+R9)),"")</f>
        <v>3704.2481300522904</v>
      </c>
      <c r="M14" s="1">
        <f>IF(C14,9.8*F10*LN((C14+Q10)/(C14+R10)),"")</f>
        <v>5909.0894302519855</v>
      </c>
      <c r="N14" s="1">
        <f>IF(C14,9.8*F11*LN((C14+Q11)/(C14+R11)),"")</f>
        <v>0</v>
      </c>
      <c r="O14" s="1">
        <f>IF(C14,9.8*F12*LN((C14+Q12)/(C14+R12)),"")</f>
        <v>0</v>
      </c>
      <c r="P14" s="15">
        <f>IF(C14,SUM(K14:O14),"")</f>
        <v>9613.3375603042768</v>
      </c>
      <c r="Q14" s="1"/>
      <c r="R14" s="1"/>
      <c r="S14" s="1"/>
      <c r="T14" s="32" t="str">
        <f>IF(OR(F14&lt;1,AND(F14="",G14&lt;1)),"起飞推重比不得小于0，空天飞机除外","")</f>
        <v/>
      </c>
      <c r="U14" s="1"/>
      <c r="V14" s="1"/>
    </row>
    <row r="15" spans="1:23">
      <c r="A15" s="33" t="s">
        <v>47</v>
      </c>
      <c r="B15" s="27" t="s">
        <v>31</v>
      </c>
      <c r="C15" s="9"/>
      <c r="D15" s="1" t="str">
        <f>IF(C15,C15+Q8,"")</f>
        <v/>
      </c>
      <c r="E15" s="72" t="str">
        <f t="shared" ref="E15:E17" si="2">IF(C15,C15/D15,"")</f>
        <v/>
      </c>
      <c r="F15" s="14" t="str">
        <f>IF(AND(C15&lt;&gt;"",N6&lt;&gt;""),(M8/F8*E6+M9/F9*D6)/(C15+Q8),"")</f>
        <v/>
      </c>
      <c r="G15" s="1" t="str">
        <f>IF(C15,IF(AND(F8&lt;&gt;0,C6&lt;&gt;0),M9,M9/F9*D6)/(C15+Q9),"")</f>
        <v/>
      </c>
      <c r="H15" s="1" t="str">
        <f>IF(C15,(M10)/(C15+Q10),"")</f>
        <v/>
      </c>
      <c r="I15" s="1" t="str">
        <f>IF(C15,(M11)/(C15+Q11),"")</f>
        <v/>
      </c>
      <c r="J15" s="1" t="str">
        <f>IF(C15,(M12)/(C15+Q12),"")</f>
        <v/>
      </c>
      <c r="K15" s="14" t="str">
        <f>IF(AND(C15&lt;&gt;"",N6&lt;&gt;""),9.8*N6*LN((C15+Q8)/(C15+R8)),"")</f>
        <v/>
      </c>
      <c r="L15" s="1" t="str">
        <f>IF(C15,9.8*F9*LN((C15+Q9)/(C15+R9)),"")</f>
        <v/>
      </c>
      <c r="M15" s="1" t="str">
        <f>IF(C15,9.8*F10*LN((C15+Q10)/(C15+R10)),"")</f>
        <v/>
      </c>
      <c r="N15" s="1" t="str">
        <f>IF(C15,9.8*F11*LN((C15+Q11)/(C15+R11)),"")</f>
        <v/>
      </c>
      <c r="O15" s="1" t="str">
        <f>IF(C15,9.8*F12*LN((C15+Q12)/(C15+R12)),"")</f>
        <v/>
      </c>
      <c r="P15" s="15" t="str">
        <f>IF(C15,SUM(K15:O15),"")</f>
        <v/>
      </c>
      <c r="Q15" s="1"/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36</v>
      </c>
      <c r="C16" s="9"/>
      <c r="D16" s="1" t="str">
        <f>IF(C16,C16+Q8,"")</f>
        <v/>
      </c>
      <c r="E16" s="72" t="str">
        <f t="shared" si="2"/>
        <v/>
      </c>
      <c r="F16" s="14" t="str">
        <f>IF(AND(C16&lt;&gt;"",N6&lt;&gt;""),(M8/F8*E6+M9/F9*D6)/(C16+Q8),"")</f>
        <v/>
      </c>
      <c r="G16" s="1" t="str">
        <f>IF(C16,IF(AND(F8&lt;&gt;0,C6&lt;&gt;0),M9,M9/F9*D6)/(C16+Q9),"")</f>
        <v/>
      </c>
      <c r="H16" s="1" t="str">
        <f>IF(C16,(M10)/(C16+Q10),"")</f>
        <v/>
      </c>
      <c r="I16" s="1" t="str">
        <f>IF(C16,(M11)/(C16+Q11),"")</f>
        <v/>
      </c>
      <c r="J16" s="1" t="str">
        <f>IF(C16,(M12)/(C16+Q12),"")</f>
        <v/>
      </c>
      <c r="K16" s="14" t="str">
        <f>IF(AND(C16&lt;&gt;"",N6&lt;&gt;""),9.8*N6*LN((C16+Q8)/(C16+R8)),"")</f>
        <v/>
      </c>
      <c r="L16" s="1" t="str">
        <f>IF(C16,9.8*F9*LN((C16+Q9)/(C16+R9)),"")</f>
        <v/>
      </c>
      <c r="M16" s="1" t="str">
        <f>IF(C16,9.8*F10*LN((C16+Q10)/(C16+R10)),"")</f>
        <v/>
      </c>
      <c r="N16" s="1" t="str">
        <f>IF(C16,9.8*F11*LN((C16+Q11)/(C16+R11)),"")</f>
        <v/>
      </c>
      <c r="O16" s="1" t="str">
        <f>IF(C16,9.8*F12*LN((C16+Q12)/(C16+R12)),"")</f>
        <v/>
      </c>
      <c r="P16" s="15" t="str">
        <f>IF(C16,SUM(K16:O16),"")</f>
        <v/>
      </c>
      <c r="Q16" s="1"/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>
        <v>4.9000000000000004</v>
      </c>
      <c r="D17" s="1">
        <f>IF(C17,C17+Q8,"")</f>
        <v>274.89999999999998</v>
      </c>
      <c r="E17" s="72">
        <f t="shared" si="2"/>
        <v>1.7824663514005096E-2</v>
      </c>
      <c r="F17" s="14" t="str">
        <f>IF(AND(C17&lt;&gt;"",N6&lt;&gt;""),(M8/F8*E6+M9/F9*D6)/(C17+Q8),"")</f>
        <v/>
      </c>
      <c r="G17" s="1">
        <f>IF(C17,IF(AND(F8&lt;&gt;0,C6&lt;&gt;0),M9,M9/F9*D6)/(C17+Q9),"")</f>
        <v>1.2829218965361884</v>
      </c>
      <c r="H17" s="1">
        <f>IF(C17,(M10)/(C17+Q10),"")</f>
        <v>1.2060085836909871</v>
      </c>
      <c r="I17" s="1">
        <f>IF(C17,(M11)/(C17+Q11),"")</f>
        <v>0</v>
      </c>
      <c r="J17" s="1">
        <f>IF(C17,(M12)/(C17+Q12),"")</f>
        <v>0</v>
      </c>
      <c r="K17" s="14" t="str">
        <f>IF(AND(C17&lt;&gt;"",N6&lt;&gt;""),9.8*N6*LN((C17+Q8)/(C17+R8)),"")</f>
        <v/>
      </c>
      <c r="L17" s="1">
        <f>IF(C17,9.8*F9*LN((C17+Q9)/(C17+R9)),"")</f>
        <v>3778.7002581328907</v>
      </c>
      <c r="M17" s="1">
        <f>IF(C17,9.8*F10*LN((C17+Q10)/(C17+R10)),"")</f>
        <v>6635.4386730964497</v>
      </c>
      <c r="N17" s="1">
        <f>IF(C17,9.8*F11*LN((C17+Q11)/(C17+R11)),"")</f>
        <v>0</v>
      </c>
      <c r="O17" s="1">
        <f>IF(C17,9.8*F12*LN((C17+Q12)/(C17+R12)),"")</f>
        <v>0</v>
      </c>
      <c r="P17" s="15">
        <f>IF(C17,SUM(K17:O17),"")</f>
        <v>10414.13893122934</v>
      </c>
      <c r="Q17" s="17" t="s">
        <v>413</v>
      </c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54</v>
      </c>
      <c r="D18" s="12" t="s">
        <v>28</v>
      </c>
      <c r="E18" s="12" t="s">
        <v>266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85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>
        <v>5</v>
      </c>
      <c r="D19" s="1">
        <f>IF(C19,C19+Q8,"")</f>
        <v>275</v>
      </c>
      <c r="E19" s="72">
        <f>IF(C19,C19/D19,"")</f>
        <v>1.8181818181818181E-2</v>
      </c>
      <c r="F19" s="14" t="str">
        <f>IF(AND(C19&lt;&gt;"",N6&lt;&gt;""),(M8/F8*E6+M9/F9*D6)/(C19+U8),"")</f>
        <v/>
      </c>
      <c r="G19" s="1">
        <f>IF(C19,IF(AND(F8&lt;&gt;0,C6&lt;&gt;0),M9,M9/F9*D6)/(C19+U9),"")</f>
        <v>1.2824553794829026</v>
      </c>
      <c r="H19" s="1">
        <f>IF(C19,(M10)/(C19+U10),"")</f>
        <v>1.2042857142857142</v>
      </c>
      <c r="I19" s="1">
        <f>IF(C19,(M11)/(C19+U11),"")</f>
        <v>0</v>
      </c>
      <c r="J19" s="1">
        <f>IF(C19,(M12)/(C19+U12),"")</f>
        <v>0</v>
      </c>
      <c r="K19" s="14" t="str">
        <f>IF(AND(C19&lt;&gt;"",N6&lt;&gt;""),9.8*N6*LN((C19+U8)/(C19+V8)),"")</f>
        <v/>
      </c>
      <c r="L19" s="1">
        <f>IF(C19,9.8*F9*LN((C19+U9)/(C19+V9)),"")</f>
        <v>2993.4624136216712</v>
      </c>
      <c r="M19" s="1">
        <f>IF(C19,9.8*F10*LN((C19+U10)/(C19+V10)),"")</f>
        <v>6606.5487996338297</v>
      </c>
      <c r="N19" s="1">
        <f>IF(C19,9.8*F11*LN((C19+U11)/(C19+V11)),"")</f>
        <v>0</v>
      </c>
      <c r="O19" s="1">
        <f>IF(C19,9.8*F12*LN((C19+U12)/(C19+V12)),"")</f>
        <v>0</v>
      </c>
      <c r="P19" s="15">
        <f>IF(C19,SUM(K19:O19),"")</f>
        <v>9600.0112132555005</v>
      </c>
      <c r="Q19" s="1" t="s">
        <v>530</v>
      </c>
      <c r="R19" s="1"/>
      <c r="S19" s="1"/>
      <c r="T19" s="32" t="str">
        <f>IF(OR(F19&lt;1,AND(F19="",G19&lt;1)),"起飞推重比不得小于0，空天飞机除外","")</f>
        <v/>
      </c>
      <c r="U19" s="1"/>
      <c r="V19" s="1"/>
    </row>
    <row r="20" spans="1:22">
      <c r="A20" s="47"/>
      <c r="B20" s="27" t="s">
        <v>31</v>
      </c>
      <c r="C20" s="9"/>
      <c r="D20" s="1" t="str">
        <f>IF(C20,C20+Q8,"")</f>
        <v/>
      </c>
      <c r="E20" s="72" t="str">
        <f t="shared" ref="E20:E22" si="4">IF(C20,C20/D20,"")</f>
        <v/>
      </c>
      <c r="F20" s="14" t="str">
        <f>IF(AND(C20&lt;&gt;"",N6&lt;&gt;""),(M8/F8*E6+M9/F9*D6)/(C20+U8),"")</f>
        <v/>
      </c>
      <c r="G20" s="1" t="str">
        <f>IF(C20,IF(AND(F8&lt;&gt;0,C6&lt;&gt;0),M9,M9/F9*D6)/(C20+U9),"")</f>
        <v/>
      </c>
      <c r="H20" s="1" t="str">
        <f>IF(C20,(M10)/(C20+U10),"")</f>
        <v/>
      </c>
      <c r="I20" s="1" t="str">
        <f>IF(C20,(M11)/(C20+U11),"")</f>
        <v/>
      </c>
      <c r="J20" s="1" t="str">
        <f>IF(C20,(M12)/(C20+U12),"")</f>
        <v/>
      </c>
      <c r="K20" s="14" t="str">
        <f>IF(AND(C20&lt;&gt;"",N6&lt;&gt;""),9.8*N6*LN((C20+U8)/(C20+V8)),"")</f>
        <v/>
      </c>
      <c r="L20" s="1" t="str">
        <f>IF(C20,9.8*F9*LN((C20+U9)/(C20+V9)),"")</f>
        <v/>
      </c>
      <c r="M20" s="1" t="str">
        <f>IF(C20,9.8*F10*LN((C20+U10)/(C20+V10)),"")</f>
        <v/>
      </c>
      <c r="N20" s="1" t="str">
        <f>IF(C20,9.8*F11*LN((C20+U11)/(C20+V11)),"")</f>
        <v/>
      </c>
      <c r="O20" s="1" t="str">
        <f>IF(C20,9.8*F12*LN((C20+U12)/(C20+V12)),"")</f>
        <v/>
      </c>
      <c r="P20" s="15" t="str">
        <f>IF(C20,SUM(K20:O20),"")</f>
        <v/>
      </c>
      <c r="Q20" s="1" t="s">
        <v>531</v>
      </c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/>
      <c r="D21" s="1" t="str">
        <f>IF(C21,C21+Q8,"")</f>
        <v/>
      </c>
      <c r="E21" s="72" t="str">
        <f t="shared" si="4"/>
        <v/>
      </c>
      <c r="F21" s="14" t="str">
        <f>IF(AND(C21&lt;&gt;"",N6&lt;&gt;""),(M8/F8*E6+M9/F9*D6)/(C21+U8),"")</f>
        <v/>
      </c>
      <c r="G21" s="1" t="str">
        <f>IF(C21,IF(AND(F8&lt;&gt;0,C6&lt;&gt;0),M9,M9/F9*D6)/(C21+U9),"")</f>
        <v/>
      </c>
      <c r="H21" s="1" t="str">
        <f>IF(C21,(M10)/(C21+U10),"")</f>
        <v/>
      </c>
      <c r="I21" s="1" t="str">
        <f>IF(C21,(M11)/(C21+U11),"")</f>
        <v/>
      </c>
      <c r="J21" s="1" t="str">
        <f>IF(C21,(M12)/(C21+U12),"")</f>
        <v/>
      </c>
      <c r="K21" s="14" t="str">
        <f>IF(AND(C21&lt;&gt;"",N6&lt;&gt;""),9.8*N6*LN((C21+U8)/(C21+V8)),"")</f>
        <v/>
      </c>
      <c r="L21" s="1" t="str">
        <f>IF(C21,9.8*F9*LN((C21+U9)/(C21+V9)),"")</f>
        <v/>
      </c>
      <c r="M21" s="1" t="str">
        <f>IF(C21,9.8*F10*LN((C21+U10)/(C21+V10)),"")</f>
        <v/>
      </c>
      <c r="N21" s="1" t="str">
        <f>IF(C21,9.8*F11*LN((C21+U11)/(C21+V11)),"")</f>
        <v/>
      </c>
      <c r="O21" s="1" t="str">
        <f>IF(C21,9.8*F12*LN((C21+U12)/(C21+V12)),"")</f>
        <v/>
      </c>
      <c r="P21" s="15" t="str">
        <f>IF(C21,SUM(K21:O21),"")</f>
        <v/>
      </c>
      <c r="Q21" s="31" t="s">
        <v>532</v>
      </c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46</v>
      </c>
      <c r="B22" s="49" t="s">
        <v>33</v>
      </c>
      <c r="C22" s="50">
        <v>2.7</v>
      </c>
      <c r="D22" s="25">
        <f>IF(C22,C22+Q8,"")</f>
        <v>272.7</v>
      </c>
      <c r="E22" s="73">
        <f t="shared" si="4"/>
        <v>9.9009900990099028E-3</v>
      </c>
      <c r="F22" s="70" t="str">
        <f>IF(AND(C22&lt;&gt;"",N6&lt;&gt;""),(M8/F8*E6+M9/F9*D6)/(C22+U8),"")</f>
        <v/>
      </c>
      <c r="G22" s="25">
        <f>IF(C22,IF(AND(F8&lt;&gt;0,C6&lt;&gt;0),M9,M9/F9*D6)/(C22+U9),"")</f>
        <v>1.2932718348287429</v>
      </c>
      <c r="H22" s="25">
        <f>IF(C22,(M10)/(C22+U10),"")</f>
        <v>1.2451994091580501</v>
      </c>
      <c r="I22" s="25">
        <f>IF(C22,(M11)/(C22+U11),"")</f>
        <v>0</v>
      </c>
      <c r="J22" s="25">
        <f>IF(C22,(M12)/(C22+U12),"")</f>
        <v>0</v>
      </c>
      <c r="K22" s="70" t="str">
        <f>IF(AND(C22&lt;&gt;"",N6&lt;&gt;""),9.8*N6*LN((C22+U8)/(C22+V8)),"")</f>
        <v/>
      </c>
      <c r="L22" s="25">
        <f>IF(C22,9.8*F9*LN((C22+U9)/(C22+V9)),"")</f>
        <v>3035.4942401228191</v>
      </c>
      <c r="M22" s="25">
        <f>IF(C22,9.8*F10*LN((C22+U10)/(C22+V10)),"")</f>
        <v>7368.4063321272206</v>
      </c>
      <c r="N22" s="25">
        <f>IF(C22,9.8*F11*LN((C22+U11)/(C22+V11)),"")</f>
        <v>0</v>
      </c>
      <c r="O22" s="25">
        <f>IF(C22,9.8*F12*LN((C22+U12)/(C22+V12)),"")</f>
        <v>0</v>
      </c>
      <c r="P22" s="71">
        <f>IF(C22,SUM(K22:O22),"")</f>
        <v>10403.900572250041</v>
      </c>
      <c r="Q22" s="25" t="s">
        <v>207</v>
      </c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395</v>
      </c>
      <c r="B24" s="52"/>
      <c r="C24" s="29" t="s">
        <v>0</v>
      </c>
      <c r="D24" s="90" t="s">
        <v>41</v>
      </c>
      <c r="E24" s="90"/>
      <c r="F24" s="43"/>
      <c r="G24" s="43"/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396</v>
      </c>
      <c r="B25" s="39"/>
      <c r="C25" s="2">
        <v>0</v>
      </c>
      <c r="D25" s="2">
        <v>293</v>
      </c>
      <c r="E25" s="2">
        <v>0</v>
      </c>
      <c r="F25" s="41"/>
      <c r="G25" s="42"/>
      <c r="H25" s="42"/>
      <c r="I25" s="24" t="s">
        <v>414</v>
      </c>
      <c r="J25" s="24"/>
      <c r="K25" s="24"/>
      <c r="L25" s="55">
        <f>IFERROR(IF(AND(F27&lt;&gt;0,C25&lt;&gt;0),M27/F27*E25+M28/F28*D25,M28/F28*D25),0)</f>
        <v>720.03191489361711</v>
      </c>
      <c r="M25" s="53" t="s">
        <v>45</v>
      </c>
      <c r="N25" s="17" t="str">
        <f>IF(AND(F27&lt;&gt;0,C25&lt;&gt;0),(M27+M28)/(M27/F27+M28/F28),"")</f>
        <v/>
      </c>
      <c r="O25" s="56" t="s">
        <v>46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60" t="str">
        <f>HYPERLINK(":\Reference\垂直起降重复使用液氧甲烷运载火箭发展路线探讨.pdf","垂直起降重复使用液氧甲烷运载火箭发展路线探讨.pdf")</f>
        <v>垂直起降重复使用液氧甲烷运载火箭发展路线探讨.pdf</v>
      </c>
      <c r="J26" s="24"/>
      <c r="K26" s="24"/>
      <c r="L26" s="11" t="s">
        <v>6</v>
      </c>
      <c r="M26" s="12" t="s">
        <v>69</v>
      </c>
      <c r="N26" s="12" t="s">
        <v>15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16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/>
      <c r="D27" s="4"/>
      <c r="E27" s="4"/>
      <c r="F27" s="4"/>
      <c r="G27" s="19"/>
      <c r="H27" s="20"/>
      <c r="I27" s="24"/>
      <c r="J27" s="24"/>
      <c r="K27" s="24"/>
      <c r="L27" s="14">
        <f>C27*C25</f>
        <v>0</v>
      </c>
      <c r="M27" s="1">
        <f>E27*C25</f>
        <v>0</v>
      </c>
      <c r="N27" s="1">
        <f>IF(D27,L27/D27,0)</f>
        <v>0</v>
      </c>
      <c r="O27" s="15">
        <f>L27-N27</f>
        <v>0</v>
      </c>
      <c r="P27" s="14">
        <f>IF(AND(F27&lt;&gt;0,C25&lt;&gt;0),O27/M27*F27/IF(G27,G27,1),0)</f>
        <v>0</v>
      </c>
      <c r="Q27" s="1">
        <f>SUM(L27:L31)</f>
        <v>530</v>
      </c>
      <c r="R27" s="15">
        <f>N27+Q28</f>
        <v>530</v>
      </c>
      <c r="S27" s="14">
        <f>N27+H27*O27</f>
        <v>0</v>
      </c>
      <c r="T27" s="1">
        <f>IF(AND(F27&lt;&gt;0,C25&lt;&gt;0),(1-H27)*O27/M27*F27/IF(G27,G27,1),0)</f>
        <v>0</v>
      </c>
      <c r="U27" s="1">
        <f>SUM(L27:L31)</f>
        <v>530</v>
      </c>
      <c r="V27" s="1">
        <f>S27+U28</f>
        <v>530</v>
      </c>
    </row>
    <row r="28" spans="1:22">
      <c r="A28" s="47"/>
      <c r="B28" s="27">
        <v>1</v>
      </c>
      <c r="C28" s="5">
        <v>420</v>
      </c>
      <c r="D28" s="1">
        <v>15</v>
      </c>
      <c r="E28" s="1">
        <v>808.5</v>
      </c>
      <c r="F28" s="1">
        <v>329</v>
      </c>
      <c r="G28" s="5">
        <v>1</v>
      </c>
      <c r="H28" s="21">
        <v>0.114</v>
      </c>
      <c r="I28" s="30" t="s">
        <v>415</v>
      </c>
      <c r="J28" s="30"/>
      <c r="K28" s="30"/>
      <c r="L28" s="14">
        <f>C28</f>
        <v>420</v>
      </c>
      <c r="M28" s="1">
        <f>E28</f>
        <v>808.5</v>
      </c>
      <c r="N28" s="1">
        <f>IF(D28,L28/D28,0)</f>
        <v>28</v>
      </c>
      <c r="O28" s="15">
        <f>L28-N28</f>
        <v>392</v>
      </c>
      <c r="P28" s="14">
        <f t="shared" ref="P28:P31" si="6">IF(F28,O28/M28*F28/IF(G28,G28,1),0)</f>
        <v>159.51515151515153</v>
      </c>
      <c r="Q28" s="1">
        <f>IF(F28,SUM(L28:L31)-P27*M28/F28*IF(G28,G28,1),0)</f>
        <v>530</v>
      </c>
      <c r="R28" s="15">
        <f>N28+Q29</f>
        <v>138</v>
      </c>
      <c r="S28" s="14">
        <f>N28+H28*O28</f>
        <v>72.688000000000002</v>
      </c>
      <c r="T28" s="1">
        <f>IF(F28,(1-H28)*O28/M28*F28/IF(G28,G28,1),0)</f>
        <v>141.33042424242424</v>
      </c>
      <c r="U28" s="1">
        <f>IF(F28,SUM(L28:L31)-T27*M28/F28*IF(G28,G28,1),0)</f>
        <v>530</v>
      </c>
      <c r="V28" s="1">
        <f>S28+U29</f>
        <v>182.68799999999999</v>
      </c>
    </row>
    <row r="29" spans="1:22">
      <c r="A29" s="47"/>
      <c r="B29" s="27">
        <v>2</v>
      </c>
      <c r="C29" s="5">
        <v>110</v>
      </c>
      <c r="D29" s="1">
        <v>13</v>
      </c>
      <c r="E29" s="1">
        <v>95.6</v>
      </c>
      <c r="F29" s="1">
        <v>350</v>
      </c>
      <c r="G29" s="5"/>
      <c r="H29" s="21"/>
      <c r="I29" s="30" t="s">
        <v>416</v>
      </c>
      <c r="J29" s="30"/>
      <c r="K29" s="30"/>
      <c r="L29" s="14">
        <f>C29</f>
        <v>110</v>
      </c>
      <c r="M29" s="1">
        <f>E29</f>
        <v>95.6</v>
      </c>
      <c r="N29" s="1">
        <f>IF(D29,L29/D29,0)</f>
        <v>8.4615384615384617</v>
      </c>
      <c r="O29" s="15">
        <f>L29-N29</f>
        <v>101.53846153846153</v>
      </c>
      <c r="P29" s="14">
        <f t="shared" si="6"/>
        <v>371.74122948181525</v>
      </c>
      <c r="Q29" s="1">
        <f>SUM(L29:L31)</f>
        <v>110</v>
      </c>
      <c r="R29" s="15">
        <f>N29+Q30</f>
        <v>8.4615384615384617</v>
      </c>
      <c r="S29" s="14">
        <f>N29+H29*O29</f>
        <v>8.4615384615384617</v>
      </c>
      <c r="T29" s="1">
        <f t="shared" ref="T29:T31" si="7">IF(F29,(1-H29)*O29/M29*F29/IF(G29,G29,1),0)</f>
        <v>371.74122948181525</v>
      </c>
      <c r="U29" s="1">
        <f>SUM(L29:L31)</f>
        <v>110</v>
      </c>
      <c r="V29" s="1">
        <f>S29+U30</f>
        <v>8.4615384615384617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/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24"/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265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264</v>
      </c>
    </row>
    <row r="33" spans="1:22">
      <c r="A33" s="47"/>
      <c r="B33" s="27" t="s">
        <v>30</v>
      </c>
      <c r="C33" s="8">
        <v>16.8</v>
      </c>
      <c r="D33" s="1">
        <f>IF(C33,C33+Q27,"")</f>
        <v>546.79999999999995</v>
      </c>
      <c r="E33" s="72">
        <f>IF(C33,C33/D33,"")</f>
        <v>3.0724213606437459E-2</v>
      </c>
      <c r="F33" s="14" t="str">
        <f>IF(AND(C33&lt;&gt;"",N25&lt;&gt;""),(M27/F27*E25+M28/F28*D25)/(C33+Q27),"")</f>
        <v/>
      </c>
      <c r="G33" s="1">
        <f>IF(C33,IF(AND(F27&lt;&gt;0,C25&lt;&gt;0),M28,M28/F28*D25)/(C33+Q28),"")</f>
        <v>1.316810378371648</v>
      </c>
      <c r="H33" s="1">
        <f>IF(C33,(M29)/(C33+Q29),"")</f>
        <v>0.75394321766561512</v>
      </c>
      <c r="I33" s="1">
        <f>IF(C33,(M30)/(C33+Q30),"")</f>
        <v>0</v>
      </c>
      <c r="J33" s="1">
        <f>IF(C33,(M31)/(C33+Q31),"")</f>
        <v>0</v>
      </c>
      <c r="K33" s="14" t="str">
        <f>IF(AND(C33&lt;&gt;"",N25&lt;&gt;""),9.8*N25*LN((C33+Q27)/(C33+R27)),"")</f>
        <v/>
      </c>
      <c r="L33" s="1">
        <f>IF(C33,9.8*F28*LN((C33+Q28)/(C33+R28)),"")</f>
        <v>4068.7764290987357</v>
      </c>
      <c r="M33" s="1">
        <f>IF(C33,9.8*F29*LN((C33+Q29)/(C33+R29)),"")</f>
        <v>5533.7151150703148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9602.49154416905</v>
      </c>
      <c r="Q33" s="1"/>
      <c r="R33" s="1"/>
      <c r="S33" s="1"/>
      <c r="T33" s="32" t="str">
        <f>IF(OR(F33&lt;1,AND(F33="",G33&lt;1)),"起飞推重比不得小于0，空天飞机除外","")</f>
        <v/>
      </c>
      <c r="U33" s="1"/>
      <c r="V33" s="1"/>
    </row>
    <row r="34" spans="1:22">
      <c r="A34" s="33" t="s">
        <v>47</v>
      </c>
      <c r="B34" s="27" t="s">
        <v>31</v>
      </c>
      <c r="C34" s="9"/>
      <c r="D34" s="1" t="str">
        <f>IF(C34,C34+Q27,"")</f>
        <v/>
      </c>
      <c r="E34" s="72" t="str">
        <f t="shared" ref="E34:E36" si="8">IF(C34,C34/D34,"")</f>
        <v/>
      </c>
      <c r="F34" s="14" t="str">
        <f>IF(AND(C34&lt;&gt;"",N25&lt;&gt;""),(M27/F27*E25+M28/F28*D25)/(C34+Q27),"")</f>
        <v/>
      </c>
      <c r="G34" s="1" t="str">
        <f>IF(C34,IF(AND(F27&lt;&gt;0,C25&lt;&gt;0),M28,M28/F28*D25)/(C34+Q28),"")</f>
        <v/>
      </c>
      <c r="H34" s="1" t="str">
        <f>IF(C34,(M29)/(C34+Q29),"")</f>
        <v/>
      </c>
      <c r="I34" s="1" t="str">
        <f>IF(C34,(M30)/(C34+Q30),"")</f>
        <v/>
      </c>
      <c r="J34" s="1" t="str">
        <f>IF(C34,(M31)/(C34+Q31),"")</f>
        <v/>
      </c>
      <c r="K34" s="14" t="str">
        <f>IF(AND(C34&lt;&gt;"",N25&lt;&gt;""),9.8*N25*LN((C34+Q27)/(C34+R27)),"")</f>
        <v/>
      </c>
      <c r="L34" s="1" t="str">
        <f>IF(C34,9.8*F28*LN((C34+Q28)/(C34+R28)),"")</f>
        <v/>
      </c>
      <c r="M34" s="1" t="str">
        <f>IF(C34,9.8*F29*LN((C34+Q29)/(C34+R29)),"")</f>
        <v/>
      </c>
      <c r="N34" s="1" t="str">
        <f>IF(C34,9.8*F30*LN((C34+Q30)/(C34+R30)),"")</f>
        <v/>
      </c>
      <c r="O34" s="1" t="str">
        <f>IF(C34,9.8*F31*LN((C34+Q31)/(C34+R31)),"")</f>
        <v/>
      </c>
      <c r="P34" s="15" t="str">
        <f>IF(C34,SUM(K34:O34),"")</f>
        <v/>
      </c>
      <c r="Q34" s="1"/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36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>
        <v>11</v>
      </c>
      <c r="D36" s="1">
        <f>IF(C36,C36+Q27,"")</f>
        <v>541</v>
      </c>
      <c r="E36" s="72">
        <f t="shared" si="8"/>
        <v>2.0332717190388171E-2</v>
      </c>
      <c r="F36" s="14" t="str">
        <f>IF(AND(C36&lt;&gt;"",N25&lt;&gt;""),(M27/F27*E25+M28/F28*D25)/(C36+Q27),"")</f>
        <v/>
      </c>
      <c r="G36" s="1">
        <f>IF(C36,IF(AND(F27&lt;&gt;0,C25&lt;&gt;0),M28,M28/F28*D25)/(C36+Q28),"")</f>
        <v>1.3309277539623237</v>
      </c>
      <c r="H36" s="1">
        <f>IF(C36,(M29)/(C36+Q29),"")</f>
        <v>0.79008264462809907</v>
      </c>
      <c r="I36" s="1">
        <f>IF(C36,(M30)/(C36+Q30),"")</f>
        <v>0</v>
      </c>
      <c r="J36" s="1">
        <f>IF(C36,(M31)/(C36+Q31),"")</f>
        <v>0</v>
      </c>
      <c r="K36" s="14" t="str">
        <f>IF(AND(C36&lt;&gt;"",N25&lt;&gt;""),9.8*N25*LN((C36+Q27)/(C36+R27)),"")</f>
        <v/>
      </c>
      <c r="L36" s="1">
        <f>IF(C36,9.8*F28*LN((C36+Q28)/(C36+R28)),"")</f>
        <v>4157.5187592274769</v>
      </c>
      <c r="M36" s="1">
        <f>IF(C36,9.8*F29*LN((C36+Q29)/(C36+R29)),"")</f>
        <v>6267.8119211544999</v>
      </c>
      <c r="N36" s="1">
        <f>IF(C36,9.8*F30*LN((C36+Q30)/(C36+R30)),"")</f>
        <v>0</v>
      </c>
      <c r="O36" s="1">
        <f>IF(C36,9.8*F31*LN((C36+Q31)/(C36+R31)),"")</f>
        <v>0</v>
      </c>
      <c r="P36" s="15">
        <f>IF(C36,SUM(K36:O36),"")</f>
        <v>10425.330680381976</v>
      </c>
      <c r="Q36" s="17" t="s">
        <v>207</v>
      </c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54</v>
      </c>
      <c r="D37" s="12" t="s">
        <v>28</v>
      </c>
      <c r="E37" s="12" t="s">
        <v>266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>
        <v>10.9</v>
      </c>
      <c r="D38" s="1">
        <f>IF(C38,C38+Q27,"")</f>
        <v>540.9</v>
      </c>
      <c r="E38" s="72">
        <f>IF(C38,C38/D38,"")</f>
        <v>2.0151599186540952E-2</v>
      </c>
      <c r="F38" s="14" t="str">
        <f>IF(AND(C38&lt;&gt;"",N25&lt;&gt;""),(M27/F27*E25+M28/F28*D25)/(C38+U27),"")</f>
        <v/>
      </c>
      <c r="G38" s="1">
        <f>IF(C38,IF(AND(F27&lt;&gt;0,C25&lt;&gt;0),M28,M28/F28*D25)/(C38+U28),"")</f>
        <v>1.3311738119682328</v>
      </c>
      <c r="H38" s="1">
        <f>IF(C38,(M29)/(C38+U29),"")</f>
        <v>0.79073614557485516</v>
      </c>
      <c r="I38" s="1">
        <f>IF(C38,(M30)/(C38+U30),"")</f>
        <v>0</v>
      </c>
      <c r="J38" s="1">
        <f>IF(C38,(M31)/(C38+U31),"")</f>
        <v>0</v>
      </c>
      <c r="K38" s="14" t="str">
        <f>IF(AND(C38&lt;&gt;"",N25&lt;&gt;""),9.8*N25*LN((C38+U27)/(C38+V27)),"")</f>
        <v/>
      </c>
      <c r="L38" s="1">
        <f>IF(C38,9.8*F28*LN((C38+U28)/(C38+V28)),"")</f>
        <v>3312.8726881186426</v>
      </c>
      <c r="M38" s="1">
        <f>IF(C38,9.8*F29*LN((C38+U29)/(C38+V29)),"")</f>
        <v>6282.6459803876778</v>
      </c>
      <c r="N38" s="1">
        <f>IF(C38,9.8*F30*LN((C38+U30)/(C38+V30)),"")</f>
        <v>0</v>
      </c>
      <c r="O38" s="1">
        <f>IF(C38,9.8*F31*LN((C38+U31)/(C38+V31)),"")</f>
        <v>0</v>
      </c>
      <c r="P38" s="15">
        <f>IF(C38,SUM(K38:O38),"")</f>
        <v>9595.51866850632</v>
      </c>
      <c r="Q38" s="1"/>
      <c r="R38" s="1"/>
      <c r="S38" s="1"/>
      <c r="T38" s="32" t="str">
        <f>IF(OR(F38&lt;1,AND(F38="",G38&lt;1)),"起飞推重比不得小于0，空天飞机除外","")</f>
        <v/>
      </c>
      <c r="U38" s="1"/>
      <c r="V38" s="1"/>
    </row>
    <row r="39" spans="1:22">
      <c r="A39" s="47"/>
      <c r="B39" s="27" t="s">
        <v>31</v>
      </c>
      <c r="C39" s="9"/>
      <c r="D39" s="1" t="str">
        <f>IF(C39,C39+Q27,"")</f>
        <v/>
      </c>
      <c r="E39" s="72" t="str">
        <f t="shared" ref="E39:E41" si="10">IF(C39,C39/D39,"")</f>
        <v/>
      </c>
      <c r="F39" s="14" t="str">
        <f>IF(AND(C39&lt;&gt;"",N25&lt;&gt;""),(M27/F27*E25+M28/F28*D25)/(C39+U27),"")</f>
        <v/>
      </c>
      <c r="G39" s="1" t="str">
        <f>IF(C39,IF(AND(F27&lt;&gt;0,C25&lt;&gt;0),M28,M28/F28*D25)/(C39+U28),"")</f>
        <v/>
      </c>
      <c r="H39" s="1" t="str">
        <f>IF(C39,(M29)/(C39+U29),"")</f>
        <v/>
      </c>
      <c r="I39" s="1" t="str">
        <f>IF(C39,(M30)/(C39+U30),"")</f>
        <v/>
      </c>
      <c r="J39" s="1" t="str">
        <f>IF(C39,(M31)/(C39+U31),"")</f>
        <v/>
      </c>
      <c r="K39" s="14" t="str">
        <f>IF(AND(C39&lt;&gt;"",N25&lt;&gt;""),9.8*N25*LN((C39+U27)/(C39+V27)),"")</f>
        <v/>
      </c>
      <c r="L39" s="1" t="str">
        <f>IF(C39,9.8*F28*LN((C39+U28)/(C39+V28)),"")</f>
        <v/>
      </c>
      <c r="M39" s="1" t="str">
        <f>IF(C39,9.8*F29*LN((C39+U29)/(C39+V29)),"")</f>
        <v/>
      </c>
      <c r="N39" s="1" t="str">
        <f>IF(C39,9.8*F30*LN((C39+U30)/(C39+V30)),"")</f>
        <v/>
      </c>
      <c r="O39" s="1" t="str">
        <f>IF(C39,9.8*F31*LN((C39+U31)/(C39+V31)),"")</f>
        <v/>
      </c>
      <c r="P39" s="15" t="str">
        <f>IF(C39,SUM(K39:O39),"")</f>
        <v/>
      </c>
      <c r="Q39" s="1"/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/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46</v>
      </c>
      <c r="B41" s="49" t="s">
        <v>33</v>
      </c>
      <c r="C41" s="50">
        <v>6.5</v>
      </c>
      <c r="D41" s="25">
        <f>IF(C41,C41+Q27,"")</f>
        <v>536.5</v>
      </c>
      <c r="E41" s="73">
        <f t="shared" si="10"/>
        <v>1.2115563839701771E-2</v>
      </c>
      <c r="F41" s="70" t="str">
        <f>IF(AND(C41&lt;&gt;"",N25&lt;&gt;""),(M27/F27*E25+M28/F28*D25)/(C41+U27),"")</f>
        <v/>
      </c>
      <c r="G41" s="25">
        <f>IF(C41,IF(AND(F27&lt;&gt;0,C25&lt;&gt;0),M28,M28/F28*D25)/(C41+U28),"")</f>
        <v>1.3420911740794355</v>
      </c>
      <c r="H41" s="25">
        <f>IF(C41,(M29)/(C41+U29),"")</f>
        <v>0.82060085836909868</v>
      </c>
      <c r="I41" s="25">
        <f>IF(C41,(M30)/(C41+U30),"")</f>
        <v>0</v>
      </c>
      <c r="J41" s="25">
        <f>IF(C41,(M31)/(C41+U31),"")</f>
        <v>0</v>
      </c>
      <c r="K41" s="70" t="str">
        <f>IF(AND(C41&lt;&gt;"",N25&lt;&gt;""),9.8*N25*LN((C41+U27)/(C41+V27)),"")</f>
        <v/>
      </c>
      <c r="L41" s="25">
        <f>IF(C41,9.8*F28*LN((C41+U28)/(C41+V28)),"")</f>
        <v>3360.6653367613785</v>
      </c>
      <c r="M41" s="25">
        <f>IF(C41,9.8*F29*LN((C41+U29)/(C41+V29)),"")</f>
        <v>7039.7610432121537</v>
      </c>
      <c r="N41" s="25">
        <f>IF(C41,9.8*F30*LN((C41+U30)/(C41+V30)),"")</f>
        <v>0</v>
      </c>
      <c r="O41" s="25">
        <f>IF(C41,9.8*F31*LN((C41+U31)/(C41+V31)),"")</f>
        <v>0</v>
      </c>
      <c r="P41" s="71">
        <f>IF(C41,SUM(K41:O41),"")</f>
        <v>10400.426379973533</v>
      </c>
      <c r="Q41" s="25" t="s">
        <v>207</v>
      </c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397</v>
      </c>
      <c r="B43" s="52"/>
      <c r="C43" s="29" t="s">
        <v>0</v>
      </c>
      <c r="D43" s="90" t="s">
        <v>41</v>
      </c>
      <c r="E43" s="90"/>
      <c r="F43" s="43"/>
      <c r="G43" s="43"/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398</v>
      </c>
      <c r="B44" s="39"/>
      <c r="C44" s="2">
        <v>0</v>
      </c>
      <c r="D44" s="2">
        <v>293</v>
      </c>
      <c r="E44" s="2">
        <v>0</v>
      </c>
      <c r="F44" s="41"/>
      <c r="G44" s="42"/>
      <c r="H44" s="42"/>
      <c r="I44" s="24" t="s">
        <v>417</v>
      </c>
      <c r="J44" s="24"/>
      <c r="K44" s="24"/>
      <c r="L44" s="55">
        <f>IFERROR(IF(AND(F46&lt;&gt;0,C44&lt;&gt;0),M46/F46*E44+M47/F47*D44,M47/F47*D44),0)</f>
        <v>1759.9592705167174</v>
      </c>
      <c r="M44" s="53" t="s">
        <v>45</v>
      </c>
      <c r="N44" s="17" t="str">
        <f>IF(AND(F46&lt;&gt;0,C44&lt;&gt;0),(M46+M47)/(M46/F46+M47/F47),"")</f>
        <v/>
      </c>
      <c r="O44" s="56" t="s">
        <v>46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60</v>
      </c>
      <c r="D45" s="1" t="s">
        <v>61</v>
      </c>
      <c r="E45" s="1" t="s">
        <v>62</v>
      </c>
      <c r="F45" s="1" t="s">
        <v>63</v>
      </c>
      <c r="G45" s="1" t="s">
        <v>64</v>
      </c>
      <c r="H45" s="1" t="s">
        <v>65</v>
      </c>
      <c r="I45" s="60" t="str">
        <f>HYPERLINK(":\Reference\垂直起降重复使用液氧甲烷运载火箭发展路线探讨.pdf","垂直起降重复使用液氧甲烷运载火箭发展路线探讨.pdf")</f>
        <v>垂直起降重复使用液氧甲烷运载火箭发展路线探讨.pdf</v>
      </c>
      <c r="J45" s="24"/>
      <c r="K45" s="24"/>
      <c r="L45" s="11" t="s">
        <v>6</v>
      </c>
      <c r="M45" s="12" t="s">
        <v>69</v>
      </c>
      <c r="N45" s="12" t="s">
        <v>15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16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/>
      <c r="D46" s="4"/>
      <c r="E46" s="4"/>
      <c r="F46" s="4"/>
      <c r="G46" s="19"/>
      <c r="H46" s="20"/>
      <c r="I46" s="24"/>
      <c r="J46" s="24"/>
      <c r="K46" s="24"/>
      <c r="L46" s="14">
        <f>C46*C44</f>
        <v>0</v>
      </c>
      <c r="M46" s="1">
        <f>E46*C44</f>
        <v>0</v>
      </c>
      <c r="N46" s="1">
        <f>IF(D46,L46/D46,0)</f>
        <v>0</v>
      </c>
      <c r="O46" s="15">
        <f>L46-N46</f>
        <v>0</v>
      </c>
      <c r="P46" s="14">
        <f>IF(AND(F46&lt;&gt;0,C44&lt;&gt;0),O46/M46*F46/IF(G46,G46,1),0)</f>
        <v>0</v>
      </c>
      <c r="Q46" s="1">
        <f>SUM(L46:L50)</f>
        <v>1305</v>
      </c>
      <c r="R46" s="15">
        <f>N46+Q47</f>
        <v>1305</v>
      </c>
      <c r="S46" s="14">
        <f>N46+H46*O46</f>
        <v>0</v>
      </c>
      <c r="T46" s="1">
        <f>IF(AND(F46&lt;&gt;0,C44&lt;&gt;0),(1-H46)*O46/M46*F46/IF(G46,G46,1),0)</f>
        <v>0</v>
      </c>
      <c r="U46" s="1">
        <f>SUM(L46:L50)</f>
        <v>1305</v>
      </c>
      <c r="V46" s="1">
        <f>S46+U47</f>
        <v>1305</v>
      </c>
    </row>
    <row r="47" spans="1:22">
      <c r="A47" s="47"/>
      <c r="B47" s="27">
        <v>1</v>
      </c>
      <c r="C47" s="5">
        <v>1065</v>
      </c>
      <c r="D47" s="1">
        <v>16</v>
      </c>
      <c r="E47" s="1">
        <v>1976.2</v>
      </c>
      <c r="F47" s="1">
        <v>329</v>
      </c>
      <c r="G47" s="5">
        <v>1</v>
      </c>
      <c r="H47" s="21">
        <v>0.107</v>
      </c>
      <c r="I47" s="30" t="s">
        <v>418</v>
      </c>
      <c r="J47" s="30"/>
      <c r="K47" s="30"/>
      <c r="L47" s="14">
        <f>C47</f>
        <v>1065</v>
      </c>
      <c r="M47" s="1">
        <f>E47</f>
        <v>1976.2</v>
      </c>
      <c r="N47" s="1">
        <f>IF(D47,L47/D47,0)</f>
        <v>66.5625</v>
      </c>
      <c r="O47" s="15">
        <f>L47-N47</f>
        <v>998.4375</v>
      </c>
      <c r="P47" s="14">
        <f t="shared" ref="P47:P50" si="12">IF(F47,O47/M47*F47/IF(G47,G47,1),0)</f>
        <v>166.22099863374154</v>
      </c>
      <c r="Q47" s="1">
        <f>IF(F47,SUM(L47:L50)-P46*M47/F47*IF(G47,G47,1),0)</f>
        <v>1305</v>
      </c>
      <c r="R47" s="15">
        <f>N47+Q48</f>
        <v>306.5625</v>
      </c>
      <c r="S47" s="14">
        <f>N47+H47*O47</f>
        <v>173.39531249999999</v>
      </c>
      <c r="T47" s="1">
        <f>IF(F47,(1-H47)*O47/M47*F47/IF(G47,G47,1),0)</f>
        <v>148.43535177993118</v>
      </c>
      <c r="U47" s="1">
        <f>IF(F47,SUM(L47:L50)-T46*M47/F47*IF(G47,G47,1),0)</f>
        <v>1305</v>
      </c>
      <c r="V47" s="1">
        <f>S47+U48</f>
        <v>413.39531249999999</v>
      </c>
    </row>
    <row r="48" spans="1:22">
      <c r="A48" s="47"/>
      <c r="B48" s="27">
        <v>2</v>
      </c>
      <c r="C48" s="5">
        <v>240</v>
      </c>
      <c r="D48" s="1">
        <v>15</v>
      </c>
      <c r="E48" s="1">
        <v>191.1</v>
      </c>
      <c r="F48" s="1">
        <v>350</v>
      </c>
      <c r="G48" s="5"/>
      <c r="H48" s="21"/>
      <c r="I48" s="30" t="s">
        <v>419</v>
      </c>
      <c r="J48" s="30"/>
      <c r="K48" s="30"/>
      <c r="L48" s="14">
        <f>C48</f>
        <v>240</v>
      </c>
      <c r="M48" s="1">
        <f>E48</f>
        <v>191.1</v>
      </c>
      <c r="N48" s="1">
        <f>IF(D48,L48/D48,0)</f>
        <v>16</v>
      </c>
      <c r="O48" s="15">
        <f>L48-N48</f>
        <v>224</v>
      </c>
      <c r="P48" s="14">
        <f t="shared" si="12"/>
        <v>410.25641025641028</v>
      </c>
      <c r="Q48" s="1">
        <f>SUM(L48:L50)</f>
        <v>240</v>
      </c>
      <c r="R48" s="15">
        <f>N48+Q49</f>
        <v>16</v>
      </c>
      <c r="S48" s="14">
        <f>N48+H48*O48</f>
        <v>16</v>
      </c>
      <c r="T48" s="1">
        <f t="shared" ref="T48:T50" si="13">IF(F48,(1-H48)*O48/M48*F48/IF(G48,G48,1),0)</f>
        <v>410.25641025641028</v>
      </c>
      <c r="U48" s="1">
        <f>SUM(L48:L50)</f>
        <v>240</v>
      </c>
      <c r="V48" s="1">
        <f>S48+U49</f>
        <v>16</v>
      </c>
    </row>
    <row r="49" spans="1:22">
      <c r="A49" s="33" t="s">
        <v>45</v>
      </c>
      <c r="B49" s="27">
        <v>3</v>
      </c>
      <c r="C49" s="5"/>
      <c r="D49" s="1"/>
      <c r="E49" s="1"/>
      <c r="F49" s="1"/>
      <c r="G49" s="5"/>
      <c r="H49" s="21"/>
      <c r="I49" s="30"/>
      <c r="J49" s="30"/>
      <c r="K49" s="30"/>
      <c r="L49" s="14">
        <f>C49</f>
        <v>0</v>
      </c>
      <c r="M49" s="1">
        <f>E49</f>
        <v>0</v>
      </c>
      <c r="N49" s="1">
        <f>IF(D49,L49/D49,0)</f>
        <v>0</v>
      </c>
      <c r="O49" s="15">
        <f>L49-N49</f>
        <v>0</v>
      </c>
      <c r="P49" s="14">
        <f t="shared" si="12"/>
        <v>0</v>
      </c>
      <c r="Q49" s="1">
        <f>SUM(L49:L50)</f>
        <v>0</v>
      </c>
      <c r="R49" s="15">
        <f>N49+Q50</f>
        <v>0</v>
      </c>
      <c r="S49" s="14">
        <f>N49+H49*O49</f>
        <v>0</v>
      </c>
      <c r="T49" s="1">
        <f t="shared" si="13"/>
        <v>0</v>
      </c>
      <c r="U49" s="1">
        <f>SUM(L49:L50)</f>
        <v>0</v>
      </c>
      <c r="V49" s="1">
        <f>S49+U50</f>
        <v>0</v>
      </c>
    </row>
    <row r="50" spans="1:22" ht="15" thickBot="1">
      <c r="A50" s="40"/>
      <c r="B50" s="28">
        <v>4</v>
      </c>
      <c r="C50" s="6"/>
      <c r="D50" s="7"/>
      <c r="E50" s="7"/>
      <c r="F50" s="7"/>
      <c r="G50" s="22"/>
      <c r="H50" s="23"/>
      <c r="I50" s="24"/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2" ht="15" thickBot="1">
      <c r="A51" s="47"/>
      <c r="B51" s="26" t="s">
        <v>38</v>
      </c>
      <c r="C51" s="1" t="s">
        <v>4</v>
      </c>
      <c r="D51" s="1" t="s">
        <v>28</v>
      </c>
      <c r="E51" s="1" t="s">
        <v>265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264</v>
      </c>
    </row>
    <row r="52" spans="1:22">
      <c r="A52" s="47"/>
      <c r="B52" s="27" t="s">
        <v>30</v>
      </c>
      <c r="C52" s="8">
        <v>45</v>
      </c>
      <c r="D52" s="1">
        <f>IF(C52,C52+Q46,"")</f>
        <v>1350</v>
      </c>
      <c r="E52" s="72">
        <f>IF(C52,C52/D52,"")</f>
        <v>3.3333333333333333E-2</v>
      </c>
      <c r="F52" s="14" t="str">
        <f>IF(AND(C52&lt;&gt;"",N44&lt;&gt;""),(M46/F46*E44+M47/F47*D44)/(C52+Q46),"")</f>
        <v/>
      </c>
      <c r="G52" s="1">
        <f>IF(C52,IF(AND(F46&lt;&gt;0,C44&lt;&gt;0),M47,M47/F47*D44)/(C52+Q47),"")</f>
        <v>1.303673533716087</v>
      </c>
      <c r="H52" s="1">
        <f>IF(C52,(M48)/(C52+Q48),"")</f>
        <v>0.67052631578947364</v>
      </c>
      <c r="I52" s="1">
        <f>IF(C52,(M49)/(C52+Q49),"")</f>
        <v>0</v>
      </c>
      <c r="J52" s="1">
        <f>IF(C52,(M50)/(C52+Q50),"")</f>
        <v>0</v>
      </c>
      <c r="K52" s="14" t="str">
        <f>IF(AND(C52&lt;&gt;"",N44&lt;&gt;""),9.8*N44*LN((C52+Q46)/(C52+R46)),"")</f>
        <v/>
      </c>
      <c r="L52" s="1">
        <f>IF(C52,9.8*F47*LN((C52+Q47)/(C52+R47)),"")</f>
        <v>4338.0720043905449</v>
      </c>
      <c r="M52" s="1">
        <f>IF(C52,9.8*F48*LN((C52+Q48)/(C52+R48)),"")</f>
        <v>5287.7405342070142</v>
      </c>
      <c r="N52" s="1">
        <f>IF(C52,9.8*F49*LN((C52+Q49)/(C52+R49)),"")</f>
        <v>0</v>
      </c>
      <c r="O52" s="1">
        <f>IF(C52,9.8*F50*LN((C52+Q50)/(C52+R50)),"")</f>
        <v>0</v>
      </c>
      <c r="P52" s="15">
        <f>IF(C52,SUM(K52:O52),"")</f>
        <v>9625.8125385975582</v>
      </c>
      <c r="Q52" s="1"/>
      <c r="R52" s="1"/>
      <c r="S52" s="1"/>
      <c r="T52" s="32" t="str">
        <f>IF(OR(F52&lt;1,AND(F52="",G52&lt;1)),"起飞推重比不得小于0，空天飞机除外","")</f>
        <v/>
      </c>
      <c r="U52" s="1"/>
      <c r="V52" s="1"/>
    </row>
    <row r="53" spans="1:22">
      <c r="A53" s="33" t="s">
        <v>47</v>
      </c>
      <c r="B53" s="27" t="s">
        <v>31</v>
      </c>
      <c r="C53" s="9"/>
      <c r="D53" s="1" t="str">
        <f>IF(C53,C53+Q46,"")</f>
        <v/>
      </c>
      <c r="E53" s="72" t="str">
        <f t="shared" ref="E53:E55" si="14">IF(C53,C53/D53,"")</f>
        <v/>
      </c>
      <c r="F53" s="14" t="str">
        <f>IF(AND(C53&lt;&gt;"",N44&lt;&gt;""),(M46/F46*E44+M47/F47*D44)/(C53+Q46),"")</f>
        <v/>
      </c>
      <c r="G53" s="1" t="str">
        <f>IF(C53,IF(AND(F46&lt;&gt;0,C44&lt;&gt;0),M47,M47/F47*D44)/(C53+Q47),"")</f>
        <v/>
      </c>
      <c r="H53" s="1" t="str">
        <f>IF(C53,(M48)/(C53+Q48),"")</f>
        <v/>
      </c>
      <c r="I53" s="1" t="str">
        <f>IF(C53,(M49)/(C53+Q49),"")</f>
        <v/>
      </c>
      <c r="J53" s="1" t="str">
        <f>IF(C53,(M50)/(C53+Q50),"")</f>
        <v/>
      </c>
      <c r="K53" s="14" t="str">
        <f>IF(AND(C53&lt;&gt;"",N44&lt;&gt;""),9.8*N44*LN((C53+Q46)/(C53+R46)),"")</f>
        <v/>
      </c>
      <c r="L53" s="1" t="str">
        <f>IF(C53,9.8*F47*LN((C53+Q47)/(C53+R47)),"")</f>
        <v/>
      </c>
      <c r="M53" s="1" t="str">
        <f>IF(C53,9.8*F48*LN((C53+Q48)/(C53+R48)),"")</f>
        <v/>
      </c>
      <c r="N53" s="1" t="str">
        <f>IF(C53,9.8*F49*LN((C53+Q49)/(C53+R49)),"")</f>
        <v/>
      </c>
      <c r="O53" s="1" t="str">
        <f>IF(C53,9.8*F50*LN((C53+Q50)/(C53+R50)),"")</f>
        <v/>
      </c>
      <c r="P53" s="15" t="str">
        <f>IF(C53,SUM(K53:O53),"")</f>
        <v/>
      </c>
      <c r="Q53" s="1"/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</row>
    <row r="54" spans="1:22">
      <c r="A54" s="40"/>
      <c r="B54" s="27" t="s">
        <v>36</v>
      </c>
      <c r="C54" s="9"/>
      <c r="D54" s="1" t="str">
        <f>IF(C54,C54+Q46,"")</f>
        <v/>
      </c>
      <c r="E54" s="72" t="str">
        <f t="shared" si="14"/>
        <v/>
      </c>
      <c r="F54" s="14" t="str">
        <f>IF(AND(C54&lt;&gt;"",N44&lt;&gt;""),(M46/F46*E44+M47/F47*D44)/(C54+Q46),"")</f>
        <v/>
      </c>
      <c r="G54" s="1" t="str">
        <f>IF(C54,IF(AND(F46&lt;&gt;0,C44&lt;&gt;0),M47,M47/F47*D44)/(C54+Q47),"")</f>
        <v/>
      </c>
      <c r="H54" s="1" t="str">
        <f>IF(C54,(M48)/(C54+Q48),"")</f>
        <v/>
      </c>
      <c r="I54" s="1" t="str">
        <f>IF(C54,(M49)/(C54+Q49),"")</f>
        <v/>
      </c>
      <c r="J54" s="1" t="str">
        <f>IF(C54,(M50)/(C54+Q50),"")</f>
        <v/>
      </c>
      <c r="K54" s="14" t="str">
        <f>IF(AND(C54&lt;&gt;"",N44&lt;&gt;""),9.8*N44*LN((C54+Q46)/(C54+R46)),"")</f>
        <v/>
      </c>
      <c r="L54" s="1" t="str">
        <f>IF(C54,9.8*F47*LN((C54+Q47)/(C54+R47)),"")</f>
        <v/>
      </c>
      <c r="M54" s="1" t="str">
        <f>IF(C54,9.8*F48*LN((C54+Q48)/(C54+R48)),"")</f>
        <v/>
      </c>
      <c r="N54" s="1" t="str">
        <f>IF(C54,9.8*F49*LN((C54+Q49)/(C54+R49)),"")</f>
        <v/>
      </c>
      <c r="O54" s="1" t="str">
        <f>IF(C54,9.8*F50*LN((C54+Q50)/(C54+R50)),"")</f>
        <v/>
      </c>
      <c r="P54" s="15" t="str">
        <f>IF(C54,SUM(K54:O54),"")</f>
        <v/>
      </c>
      <c r="Q54" s="1"/>
      <c r="R54" s="1"/>
      <c r="S54" s="1"/>
      <c r="T54" s="32" t="str">
        <f t="shared" si="15"/>
        <v/>
      </c>
      <c r="U54" s="1"/>
      <c r="V54" s="1"/>
    </row>
    <row r="55" spans="1:22" ht="15" thickBot="1">
      <c r="A55" s="47"/>
      <c r="B55" s="28" t="s">
        <v>5</v>
      </c>
      <c r="C55" s="10">
        <v>31.5</v>
      </c>
      <c r="D55" s="1">
        <f>IF(C55,C55+Q46,"")</f>
        <v>1336.5</v>
      </c>
      <c r="E55" s="72">
        <f t="shared" si="14"/>
        <v>2.3569023569023569E-2</v>
      </c>
      <c r="F55" s="14" t="str">
        <f>IF(AND(C55&lt;&gt;"",N44&lt;&gt;""),(M46/F46*E44+M47/F47*D44)/(C55+Q46),"")</f>
        <v/>
      </c>
      <c r="G55" s="1">
        <f>IF(C55,IF(AND(F46&lt;&gt;0,C44&lt;&gt;0),M47,M47/F47*D44)/(C55+Q47),"")</f>
        <v>1.3168419532485727</v>
      </c>
      <c r="H55" s="1">
        <f>IF(C55,(M48)/(C55+Q48),"")</f>
        <v>0.70386740331491715</v>
      </c>
      <c r="I55" s="1">
        <f>IF(C55,(M49)/(C55+Q49),"")</f>
        <v>0</v>
      </c>
      <c r="J55" s="1">
        <f>IF(C55,(M50)/(C55+Q50),"")</f>
        <v>0</v>
      </c>
      <c r="K55" s="14" t="str">
        <f>IF(AND(C55&lt;&gt;"",N44&lt;&gt;""),9.8*N44*LN((C55+Q46)/(C55+R46)),"")</f>
        <v/>
      </c>
      <c r="L55" s="1">
        <f>IF(C55,9.8*F47*LN((C55+Q47)/(C55+R47)),"")</f>
        <v>4431.9167926833752</v>
      </c>
      <c r="M55" s="1">
        <f>IF(C55,9.8*F48*LN((C55+Q48)/(C55+R48)),"")</f>
        <v>5979.2872291835438</v>
      </c>
      <c r="N55" s="1">
        <f>IF(C55,9.8*F49*LN((C55+Q49)/(C55+R49)),"")</f>
        <v>0</v>
      </c>
      <c r="O55" s="1">
        <f>IF(C55,9.8*F50*LN((C55+Q50)/(C55+R50)),"")</f>
        <v>0</v>
      </c>
      <c r="P55" s="15">
        <f>IF(C55,SUM(K55:O55),"")</f>
        <v>10411.204021866919</v>
      </c>
      <c r="Q55" s="17" t="s">
        <v>207</v>
      </c>
      <c r="R55" s="17"/>
      <c r="S55" s="17"/>
      <c r="T55" s="32" t="str">
        <f t="shared" si="15"/>
        <v/>
      </c>
      <c r="U55" s="1"/>
      <c r="V55" s="1"/>
    </row>
    <row r="56" spans="1:22" ht="15" thickBot="1">
      <c r="A56" s="33" t="s">
        <v>45</v>
      </c>
      <c r="B56" s="26" t="s">
        <v>37</v>
      </c>
      <c r="C56" s="1" t="s">
        <v>54</v>
      </c>
      <c r="D56" s="12" t="s">
        <v>28</v>
      </c>
      <c r="E56" s="12" t="s">
        <v>266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2">
      <c r="A57" s="40"/>
      <c r="B57" s="27" t="s">
        <v>30</v>
      </c>
      <c r="C57" s="8">
        <v>30</v>
      </c>
      <c r="D57" s="1">
        <f>IF(C57,C57+Q46,"")</f>
        <v>1335</v>
      </c>
      <c r="E57" s="72">
        <f>IF(C57,C57/D57,"")</f>
        <v>2.247191011235955E-2</v>
      </c>
      <c r="F57" s="14" t="str">
        <f>IF(AND(C57&lt;&gt;"",N44&lt;&gt;""),(M46/F46*E44+M47/F47*D44)/(C57+U46),"")</f>
        <v/>
      </c>
      <c r="G57" s="1">
        <f>IF(C57,IF(AND(F46&lt;&gt;0,C44&lt;&gt;0),M47,M47/F47*D44)/(C57+U47),"")</f>
        <v>1.318321550948852</v>
      </c>
      <c r="H57" s="1">
        <f>IF(C57,(M48)/(C57+U48),"")</f>
        <v>0.70777777777777773</v>
      </c>
      <c r="I57" s="1">
        <f>IF(C57,(M49)/(C57+U49),"")</f>
        <v>0</v>
      </c>
      <c r="J57" s="1">
        <f>IF(C57,(M50)/(C57+U50),"")</f>
        <v>0</v>
      </c>
      <c r="K57" s="14" t="str">
        <f>IF(AND(C57&lt;&gt;"",N44&lt;&gt;""),9.8*N44*LN((C57+U46)/(C57+V46)),"")</f>
        <v/>
      </c>
      <c r="L57" s="1">
        <f>IF(C57,9.8*F47*LN((C57+U47)/(C57+V47)),"")</f>
        <v>3553.7933466243098</v>
      </c>
      <c r="M57" s="1">
        <f>IF(C57,9.8*F48*LN((C57+U48)/(C57+V48)),"")</f>
        <v>6070.3473294068299</v>
      </c>
      <c r="N57" s="1">
        <f>IF(C57,9.8*F49*LN((C57+U49)/(C57+V49)),"")</f>
        <v>0</v>
      </c>
      <c r="O57" s="1">
        <f>IF(C57,9.8*F50*LN((C57+U50)/(C57+V50)),"")</f>
        <v>0</v>
      </c>
      <c r="P57" s="15">
        <f>IF(C57,SUM(K57:O57),"")</f>
        <v>9624.1406760311402</v>
      </c>
      <c r="Q57" s="1" t="s">
        <v>529</v>
      </c>
      <c r="R57" s="1"/>
      <c r="S57" s="1"/>
      <c r="T57" s="32" t="str">
        <f>IF(OR(F57&lt;1,AND(F57="",G57&lt;1)),"起飞推重比不得小于0，空天飞机除外","")</f>
        <v/>
      </c>
      <c r="U57" s="1"/>
      <c r="V57" s="1"/>
    </row>
    <row r="58" spans="1:22">
      <c r="A58" s="47"/>
      <c r="B58" s="27" t="s">
        <v>31</v>
      </c>
      <c r="C58" s="9"/>
      <c r="D58" s="1" t="str">
        <f>IF(C58,C58+Q46,"")</f>
        <v/>
      </c>
      <c r="E58" s="72" t="str">
        <f t="shared" ref="E58:E60" si="16">IF(C58,C58/D58,"")</f>
        <v/>
      </c>
      <c r="F58" s="14" t="str">
        <f>IF(AND(C58&lt;&gt;"",N44&lt;&gt;""),(M46/F46*E44+M47/F47*D44)/(C58+U46),"")</f>
        <v/>
      </c>
      <c r="G58" s="1" t="str">
        <f>IF(C58,IF(AND(F46&lt;&gt;0,C44&lt;&gt;0),M47,M47/F47*D44)/(C58+U47),"")</f>
        <v/>
      </c>
      <c r="H58" s="1" t="str">
        <f>IF(C58,(M48)/(C58+U48),"")</f>
        <v/>
      </c>
      <c r="I58" s="1" t="str">
        <f>IF(C58,(M49)/(C58+U49),"")</f>
        <v/>
      </c>
      <c r="J58" s="1" t="str">
        <f>IF(C58,(M50)/(C58+U50),"")</f>
        <v/>
      </c>
      <c r="K58" s="14" t="str">
        <f>IF(AND(C58&lt;&gt;"",N44&lt;&gt;""),9.8*N44*LN((C58+U46)/(C58+V46)),"")</f>
        <v/>
      </c>
      <c r="L58" s="1" t="str">
        <f>IF(C58,9.8*F47*LN((C58+U47)/(C58+V47)),"")</f>
        <v/>
      </c>
      <c r="M58" s="1" t="str">
        <f>IF(C58,9.8*F48*LN((C58+U48)/(C58+V48)),"")</f>
        <v/>
      </c>
      <c r="N58" s="1" t="str">
        <f>IF(C58,9.8*F49*LN((C58+U49)/(C58+V49)),"")</f>
        <v/>
      </c>
      <c r="O58" s="1" t="str">
        <f>IF(C58,9.8*F50*LN((C58+U50)/(C58+V50)),"")</f>
        <v/>
      </c>
      <c r="P58" s="15" t="str">
        <f>IF(C58,SUM(K58:O58),"")</f>
        <v/>
      </c>
      <c r="Q58" s="60" t="str">
        <f>HYPERLINK(":\Reference\火箭发展建议.jpg","火箭发展建议.jpg")</f>
        <v>火箭发展建议.jpg</v>
      </c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2">
      <c r="A59" s="47"/>
      <c r="B59" s="27" t="s">
        <v>32</v>
      </c>
      <c r="C59" s="9"/>
      <c r="D59" s="1" t="str">
        <f>IF(C59,C59+Q46,"")</f>
        <v/>
      </c>
      <c r="E59" s="72" t="str">
        <f t="shared" si="16"/>
        <v/>
      </c>
      <c r="F59" s="14" t="str">
        <f>IF(AND(C59&lt;&gt;"",N44&lt;&gt;""),(M46/F46*E44+M47/F47*D44)/(C59+U46),"")</f>
        <v/>
      </c>
      <c r="G59" s="1" t="str">
        <f>IF(C59,IF(AND(F46&lt;&gt;0,C44&lt;&gt;0),M47,M47/F47*D44)/(C59+U47),"")</f>
        <v/>
      </c>
      <c r="H59" s="1" t="str">
        <f>IF(C59,(M48)/(C59+U48),"")</f>
        <v/>
      </c>
      <c r="I59" s="1" t="str">
        <f>IF(C59,(M49)/(C59+U49),"")</f>
        <v/>
      </c>
      <c r="J59" s="1" t="str">
        <f>IF(C59,(M50)/(C59+U50),"")</f>
        <v/>
      </c>
      <c r="K59" s="14" t="str">
        <f>IF(AND(C59&lt;&gt;"",N44&lt;&gt;""),9.8*N44*LN((C59+U46)/(C59+V46)),"")</f>
        <v/>
      </c>
      <c r="L59" s="1" t="str">
        <f>IF(C59,9.8*F47*LN((C59+U47)/(C59+V47)),"")</f>
        <v/>
      </c>
      <c r="M59" s="1" t="str">
        <f>IF(C59,9.8*F48*LN((C59+U48)/(C59+V48)),"")</f>
        <v/>
      </c>
      <c r="N59" s="1" t="str">
        <f>IF(C59,9.8*F49*LN((C59+U49)/(C59+V49)),"")</f>
        <v/>
      </c>
      <c r="O59" s="1" t="str">
        <f>IF(C59,9.8*F50*LN((C59+U50)/(C59+V50)),"")</f>
        <v/>
      </c>
      <c r="P59" s="15" t="str">
        <f>IF(C59,SUM(K59:O59),"")</f>
        <v/>
      </c>
      <c r="Q59" s="1"/>
      <c r="R59" s="1"/>
      <c r="S59" s="1"/>
      <c r="T59" s="32" t="str">
        <f t="shared" si="17"/>
        <v/>
      </c>
      <c r="U59" s="1"/>
      <c r="V59" s="1"/>
    </row>
    <row r="60" spans="1:22" ht="15" thickBot="1">
      <c r="A60" s="48" t="s">
        <v>46</v>
      </c>
      <c r="B60" s="49" t="s">
        <v>33</v>
      </c>
      <c r="C60" s="50">
        <v>20</v>
      </c>
      <c r="D60" s="25">
        <f>IF(C60,C60+Q46,"")</f>
        <v>1325</v>
      </c>
      <c r="E60" s="73">
        <f t="shared" si="16"/>
        <v>1.509433962264151E-2</v>
      </c>
      <c r="F60" s="70" t="str">
        <f>IF(AND(C60&lt;&gt;"",N44&lt;&gt;""),(M46/F46*E44+M47/F47*D44)/(C60+U46),"")</f>
        <v/>
      </c>
      <c r="G60" s="25">
        <f>IF(C60,IF(AND(F46&lt;&gt;0,C44&lt;&gt;0),M47,M47/F47*D44)/(C60+U47),"")</f>
        <v>1.3282711475597868</v>
      </c>
      <c r="H60" s="25">
        <f>IF(C60,(M48)/(C60+U48),"")</f>
        <v>0.73499999999999999</v>
      </c>
      <c r="I60" s="25">
        <f>IF(C60,(M49)/(C60+U49),"")</f>
        <v>0</v>
      </c>
      <c r="J60" s="25">
        <f>IF(C60,(M50)/(C60+U50),"")</f>
        <v>0</v>
      </c>
      <c r="K60" s="70" t="str">
        <f>IF(AND(C60&lt;&gt;"",N44&lt;&gt;""),9.8*N44*LN((C60+U46)/(C60+V46)),"")</f>
        <v/>
      </c>
      <c r="L60" s="25">
        <f>IF(C60,9.8*F47*LN((C60+U47)/(C60+V47)),"")</f>
        <v>3603.0998107184532</v>
      </c>
      <c r="M60" s="25">
        <f>IF(C60,9.8*F48*LN((C60+U48)/(C60+V48)),"")</f>
        <v>6781.6680354788032</v>
      </c>
      <c r="N60" s="25">
        <f>IF(C60,9.8*F49*LN((C60+U49)/(C60+V49)),"")</f>
        <v>0</v>
      </c>
      <c r="O60" s="25">
        <f>IF(C60,9.8*F50*LN((C60+U50)/(C60+V50)),"")</f>
        <v>0</v>
      </c>
      <c r="P60" s="71">
        <f>IF(C60,SUM(K60:O60),"")</f>
        <v>10384.767846197257</v>
      </c>
      <c r="Q60" s="25" t="s">
        <v>207</v>
      </c>
      <c r="R60" s="25"/>
      <c r="S60" s="25"/>
      <c r="T60" s="51" t="str">
        <f t="shared" si="17"/>
        <v/>
      </c>
      <c r="U60" s="25"/>
      <c r="V60" s="25"/>
    </row>
    <row r="61" spans="1:22" ht="15" thickBot="1"/>
    <row r="62" spans="1:22" ht="15" thickBot="1">
      <c r="A62" s="52" t="s">
        <v>400</v>
      </c>
      <c r="B62" s="52"/>
      <c r="C62" s="29" t="s">
        <v>0</v>
      </c>
      <c r="D62" s="90" t="s">
        <v>41</v>
      </c>
      <c r="E62" s="90"/>
      <c r="F62" s="43"/>
      <c r="G62" s="43"/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2" ht="15" thickBot="1">
      <c r="A63" s="40" t="s">
        <v>401</v>
      </c>
      <c r="B63" s="39"/>
      <c r="C63" s="2">
        <v>0</v>
      </c>
      <c r="D63" s="2">
        <v>319</v>
      </c>
      <c r="E63" s="2">
        <v>0</v>
      </c>
      <c r="F63" s="41"/>
      <c r="G63" s="42"/>
      <c r="H63" s="42"/>
      <c r="I63" s="24" t="s">
        <v>420</v>
      </c>
      <c r="J63" s="24"/>
      <c r="K63" s="24"/>
      <c r="L63" s="55">
        <f>IFERROR(IF(AND(F65&lt;&gt;0,C63&lt;&gt;0),M65/F65*E63+M66/F66*D63,M66/F66*D63),0)</f>
        <v>1020.4425770308123</v>
      </c>
      <c r="M63" s="53" t="s">
        <v>45</v>
      </c>
      <c r="N63" s="17" t="str">
        <f>IF(AND(F65&lt;&gt;0,C63&lt;&gt;0),(M65+M66)/(M65/F65+M66/F66),"")</f>
        <v/>
      </c>
      <c r="O63" s="56" t="s">
        <v>46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2" ht="15" thickBot="1">
      <c r="A64" s="33" t="s">
        <v>45</v>
      </c>
      <c r="B64" s="26" t="s">
        <v>39</v>
      </c>
      <c r="C64" s="1" t="s">
        <v>60</v>
      </c>
      <c r="D64" s="1" t="s">
        <v>61</v>
      </c>
      <c r="E64" s="1" t="s">
        <v>62</v>
      </c>
      <c r="F64" s="1" t="s">
        <v>63</v>
      </c>
      <c r="G64" s="1" t="s">
        <v>64</v>
      </c>
      <c r="H64" s="1" t="s">
        <v>65</v>
      </c>
      <c r="I64" s="60" t="str">
        <f>HYPERLINK(":\Reference\全流量甲烷火箭.jpg","全流量甲烷火箭.jpg")</f>
        <v>全流量甲烷火箭.jpg</v>
      </c>
      <c r="J64" s="24"/>
      <c r="K64" s="24"/>
      <c r="L64" s="11" t="s">
        <v>6</v>
      </c>
      <c r="M64" s="12" t="s">
        <v>69</v>
      </c>
      <c r="N64" s="12" t="s">
        <v>15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16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/>
      <c r="D65" s="4"/>
      <c r="E65" s="4"/>
      <c r="F65" s="4"/>
      <c r="G65" s="19"/>
      <c r="H65" s="20"/>
      <c r="I65" s="60" t="str">
        <f>HYPERLINK(":\Reference\全流量补燃循环液氧甲烷发动机系统方案研究.png","全流量补燃循环液氧甲烷发动机系统方案研究.png")</f>
        <v>全流量补燃循环液氧甲烷发动机系统方案研究.png</v>
      </c>
      <c r="J65" s="24"/>
      <c r="K65" s="24"/>
      <c r="L65" s="14">
        <f>C65*C63</f>
        <v>0</v>
      </c>
      <c r="M65" s="1">
        <f>E65*C63</f>
        <v>0</v>
      </c>
      <c r="N65" s="1">
        <f>IF(D65,L65/D65,0)</f>
        <v>0</v>
      </c>
      <c r="O65" s="15">
        <f>L65-N65</f>
        <v>0</v>
      </c>
      <c r="P65" s="14">
        <f>IF(AND(F65&lt;&gt;0,C63&lt;&gt;0),O65/M65*F65/IF(G65,G65,1),0)</f>
        <v>0</v>
      </c>
      <c r="Q65" s="1">
        <f>SUM(L65:L69)</f>
        <v>750</v>
      </c>
      <c r="R65" s="15">
        <f>N65+Q66</f>
        <v>750</v>
      </c>
      <c r="S65" s="14">
        <f>N65+H65*O65</f>
        <v>0</v>
      </c>
      <c r="T65" s="1">
        <f>IF(AND(F65&lt;&gt;0,C63&lt;&gt;0),(1-H65)*O65/M65*F65/IF(G65,G65,1),0)</f>
        <v>0</v>
      </c>
      <c r="U65" s="1">
        <f>SUM(L65:L69)</f>
        <v>750</v>
      </c>
      <c r="V65" s="1">
        <f>S65+U66</f>
        <v>750</v>
      </c>
    </row>
    <row r="66" spans="1:22">
      <c r="A66" s="47"/>
      <c r="B66" s="27">
        <v>1</v>
      </c>
      <c r="C66" s="5">
        <v>550</v>
      </c>
      <c r="D66" s="1">
        <v>15</v>
      </c>
      <c r="E66" s="1">
        <v>1142</v>
      </c>
      <c r="F66" s="1">
        <v>357</v>
      </c>
      <c r="G66" s="5">
        <v>1</v>
      </c>
      <c r="H66" s="21">
        <v>0.10009999999999999</v>
      </c>
      <c r="I66" s="30" t="s">
        <v>421</v>
      </c>
      <c r="J66" s="30"/>
      <c r="K66" s="30"/>
      <c r="L66" s="14">
        <f>C66</f>
        <v>550</v>
      </c>
      <c r="M66" s="1">
        <f>E66</f>
        <v>1142</v>
      </c>
      <c r="N66" s="1">
        <f>IF(D66,L66/D66,0)</f>
        <v>36.666666666666664</v>
      </c>
      <c r="O66" s="15">
        <f>L66-N66</f>
        <v>513.33333333333337</v>
      </c>
      <c r="P66" s="14">
        <f t="shared" ref="P66:P69" si="18">IF(F66,O66/M66*F66/IF(G66,G66,1),0)</f>
        <v>160.47285464098076</v>
      </c>
      <c r="Q66" s="1">
        <f>IF(F66,SUM(L66:L69)-P65*M66/F66*IF(G66,G66,1),0)</f>
        <v>750</v>
      </c>
      <c r="R66" s="15">
        <f>N66+Q67</f>
        <v>236.66666666666666</v>
      </c>
      <c r="S66" s="14">
        <f>N66+H66*O66</f>
        <v>88.051333333333332</v>
      </c>
      <c r="T66" s="1">
        <f>IF(F66,(1-H66)*O66/M66*F66/IF(G66,G66,1),0)</f>
        <v>144.40952189141859</v>
      </c>
      <c r="U66" s="1">
        <f>IF(F66,SUM(L66:L69)-T65*M66/F66*IF(G66,G66,1),0)</f>
        <v>750</v>
      </c>
      <c r="V66" s="1">
        <f>S66+U67</f>
        <v>288.05133333333333</v>
      </c>
    </row>
    <row r="67" spans="1:22">
      <c r="A67" s="47"/>
      <c r="B67" s="27">
        <v>2</v>
      </c>
      <c r="C67" s="5">
        <v>200</v>
      </c>
      <c r="D67" s="1">
        <v>14</v>
      </c>
      <c r="E67" s="1">
        <v>239.9</v>
      </c>
      <c r="F67" s="1">
        <v>375</v>
      </c>
      <c r="G67" s="5"/>
      <c r="H67" s="21"/>
      <c r="I67" s="30" t="s">
        <v>422</v>
      </c>
      <c r="J67" s="30"/>
      <c r="K67" s="30"/>
      <c r="L67" s="14">
        <f>C67</f>
        <v>200</v>
      </c>
      <c r="M67" s="1">
        <f>E67</f>
        <v>239.9</v>
      </c>
      <c r="N67" s="1">
        <f>IF(D67,L67/D67,0)</f>
        <v>14.285714285714286</v>
      </c>
      <c r="O67" s="15">
        <f>L67-N67</f>
        <v>185.71428571428572</v>
      </c>
      <c r="P67" s="14">
        <f t="shared" si="18"/>
        <v>290.29952956589057</v>
      </c>
      <c r="Q67" s="1">
        <f>SUM(L67:L69)</f>
        <v>200</v>
      </c>
      <c r="R67" s="15">
        <f>N67+Q68</f>
        <v>14.285714285714286</v>
      </c>
      <c r="S67" s="14">
        <f>N67+H67*O67</f>
        <v>14.285714285714286</v>
      </c>
      <c r="T67" s="1">
        <f t="shared" ref="T67:T69" si="19">IF(F67,(1-H67)*O67/M67*F67/IF(G67,G67,1),0)</f>
        <v>290.29952956589057</v>
      </c>
      <c r="U67" s="1">
        <f>SUM(L67:L69)</f>
        <v>200</v>
      </c>
      <c r="V67" s="1">
        <f>S67+U68</f>
        <v>14.285714285714286</v>
      </c>
    </row>
    <row r="68" spans="1:22">
      <c r="A68" s="33" t="s">
        <v>45</v>
      </c>
      <c r="B68" s="27">
        <v>3</v>
      </c>
      <c r="C68" s="5"/>
      <c r="D68" s="1"/>
      <c r="E68" s="1"/>
      <c r="F68" s="1"/>
      <c r="G68" s="5"/>
      <c r="H68" s="21"/>
      <c r="I68" s="30"/>
      <c r="J68" s="30"/>
      <c r="K68" s="30"/>
      <c r="L68" s="14">
        <f>C68</f>
        <v>0</v>
      </c>
      <c r="M68" s="1">
        <f>E68</f>
        <v>0</v>
      </c>
      <c r="N68" s="1">
        <f>IF(D68,L68/D68,0)</f>
        <v>0</v>
      </c>
      <c r="O68" s="15">
        <f>L68-N68</f>
        <v>0</v>
      </c>
      <c r="P68" s="14">
        <f t="shared" si="18"/>
        <v>0</v>
      </c>
      <c r="Q68" s="1">
        <f>SUM(L68:L69)</f>
        <v>0</v>
      </c>
      <c r="R68" s="15">
        <f>N68+Q69</f>
        <v>0</v>
      </c>
      <c r="S68" s="14">
        <f>N68+H68*O68</f>
        <v>0</v>
      </c>
      <c r="T68" s="1">
        <f t="shared" si="19"/>
        <v>0</v>
      </c>
      <c r="U68" s="1">
        <f>SUM(L68:L69)</f>
        <v>0</v>
      </c>
      <c r="V68" s="1">
        <f>S68+U69</f>
        <v>0</v>
      </c>
    </row>
    <row r="69" spans="1:22" ht="15" thickBot="1">
      <c r="A69" s="40"/>
      <c r="B69" s="28">
        <v>4</v>
      </c>
      <c r="C69" s="6"/>
      <c r="D69" s="7"/>
      <c r="E69" s="7"/>
      <c r="F69" s="7"/>
      <c r="G69" s="22"/>
      <c r="H69" s="23"/>
      <c r="I69" s="24"/>
      <c r="J69" s="24"/>
      <c r="K69" s="24"/>
      <c r="L69" s="16">
        <f>C69</f>
        <v>0</v>
      </c>
      <c r="M69" s="17">
        <f>E69</f>
        <v>0</v>
      </c>
      <c r="N69" s="17">
        <f>IF(D69,L69/D69,0)</f>
        <v>0</v>
      </c>
      <c r="O69" s="18">
        <f>L69-N69</f>
        <v>0</v>
      </c>
      <c r="P69" s="14">
        <f t="shared" si="18"/>
        <v>0</v>
      </c>
      <c r="Q69" s="17">
        <f>SUM(L69:L69)</f>
        <v>0</v>
      </c>
      <c r="R69" s="18">
        <f>N69</f>
        <v>0</v>
      </c>
      <c r="S69" s="16">
        <f>N69+H69*O69</f>
        <v>0</v>
      </c>
      <c r="T69" s="17">
        <f t="shared" si="19"/>
        <v>0</v>
      </c>
      <c r="U69" s="17">
        <f>SUM(L69:L69)</f>
        <v>0</v>
      </c>
      <c r="V69" s="17">
        <f>S69</f>
        <v>0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265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264</v>
      </c>
    </row>
    <row r="71" spans="1:22">
      <c r="A71" s="47"/>
      <c r="B71" s="27" t="s">
        <v>30</v>
      </c>
      <c r="C71" s="8">
        <v>33</v>
      </c>
      <c r="D71" s="1">
        <f>IF(C71,C71+Q65,"")</f>
        <v>783</v>
      </c>
      <c r="E71" s="72">
        <f>IF(C71,C71/D71,"")</f>
        <v>4.2145593869731802E-2</v>
      </c>
      <c r="F71" s="14" t="str">
        <f>IF(AND(C71&lt;&gt;"",N63&lt;&gt;""),(M65/F65*E63+M66/F66*D63)/(C71+Q65),"")</f>
        <v/>
      </c>
      <c r="G71" s="1">
        <f>IF(C71,IF(AND(F65&lt;&gt;0,C63&lt;&gt;0),M66,M66/F66*D63)/(C71+Q66),"")</f>
        <v>1.3032472248158522</v>
      </c>
      <c r="H71" s="1">
        <f>IF(C71,(M67)/(C71+Q67),"")</f>
        <v>1.0296137339055795</v>
      </c>
      <c r="I71" s="1">
        <f>IF(C71,(M68)/(C71+Q68),"")</f>
        <v>0</v>
      </c>
      <c r="J71" s="1">
        <f>IF(C71,(M69)/(C71+Q69),"")</f>
        <v>0</v>
      </c>
      <c r="K71" s="14" t="str">
        <f>IF(AND(C71&lt;&gt;"",N63&lt;&gt;""),9.8*N63*LN((C71+Q65)/(C71+R65)),"")</f>
        <v/>
      </c>
      <c r="L71" s="1">
        <f>IF(C71,9.8*F66*LN((C71+Q66)/(C71+R66)),"")</f>
        <v>3729.3189121068335</v>
      </c>
      <c r="M71" s="1">
        <f>IF(C71,9.8*F67*LN((C71+Q67)/(C71+R67)),"")</f>
        <v>5861.0010851215202</v>
      </c>
      <c r="N71" s="1">
        <f>IF(C71,9.8*F68*LN((C71+Q68)/(C71+R68)),"")</f>
        <v>0</v>
      </c>
      <c r="O71" s="1">
        <f>IF(C71,9.8*F69*LN((C71+Q69)/(C71+R69)),"")</f>
        <v>0</v>
      </c>
      <c r="P71" s="15">
        <f>IF(C71,SUM(K71:O71),"")</f>
        <v>9590.3199972283546</v>
      </c>
      <c r="Q71" s="1"/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47</v>
      </c>
      <c r="B72" s="27" t="s">
        <v>31</v>
      </c>
      <c r="C72" s="9">
        <v>9</v>
      </c>
      <c r="D72" s="1">
        <f>IF(C72,C72+Q65,"")</f>
        <v>759</v>
      </c>
      <c r="E72" s="72">
        <f t="shared" ref="E72:E74" si="20">IF(C72,C72/D72,"")</f>
        <v>1.1857707509881422E-2</v>
      </c>
      <c r="F72" s="14" t="str">
        <f>IF(AND(C72&lt;&gt;"",N63&lt;&gt;""),(M65/F65*E63+M66/F66*D63)/(C72+Q65),"")</f>
        <v/>
      </c>
      <c r="G72" s="1">
        <f>IF(C72,IF(AND(F65&lt;&gt;0,C63&lt;&gt;0),M66,M66/F66*D63)/(C72+Q66),"")</f>
        <v>1.3444566232290018</v>
      </c>
      <c r="H72" s="1">
        <f>IF(C72,(M67)/(C72+Q67),"")</f>
        <v>1.1478468899521532</v>
      </c>
      <c r="I72" s="1">
        <f>IF(C72,(M68)/(C72+Q68),"")</f>
        <v>0</v>
      </c>
      <c r="J72" s="1">
        <f>IF(C72,(M69)/(C72+Q69),"")</f>
        <v>0</v>
      </c>
      <c r="K72" s="14" t="str">
        <f>IF(AND(C72&lt;&gt;"",N63&lt;&gt;""),9.8*N63*LN((C72+Q65)/(C72+R65)),"")</f>
        <v/>
      </c>
      <c r="L72" s="1">
        <f>IF(C72,9.8*F66*LN((C72+Q66)/(C72+R66)),"")</f>
        <v>3946.5123719169869</v>
      </c>
      <c r="M72" s="1">
        <f>IF(C72,9.8*F67*LN((C72+Q67)/(C72+R67)),"")</f>
        <v>8064.7661857841067</v>
      </c>
      <c r="N72" s="1">
        <f>IF(C72,9.8*F68*LN((C72+Q68)/(C72+R68)),"")</f>
        <v>0</v>
      </c>
      <c r="O72" s="1">
        <f>IF(C72,9.8*F69*LN((C72+Q69)/(C72+R69)),"")</f>
        <v>0</v>
      </c>
      <c r="P72" s="15">
        <f>IF(C72,SUM(K72:O72),"")</f>
        <v>12011.278557701095</v>
      </c>
      <c r="Q72" s="1"/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36</v>
      </c>
      <c r="C73" s="9"/>
      <c r="D73" s="1" t="str">
        <f>IF(C73,C73+Q65,"")</f>
        <v/>
      </c>
      <c r="E73" s="72" t="str">
        <f t="shared" si="20"/>
        <v/>
      </c>
      <c r="F73" s="14" t="str">
        <f>IF(AND(C73&lt;&gt;"",N63&lt;&gt;""),(M65/F65*E63+M66/F66*D63)/(C73+Q65),"")</f>
        <v/>
      </c>
      <c r="G73" s="1" t="str">
        <f>IF(C73,IF(AND(F65&lt;&gt;0,C63&lt;&gt;0),M66,M66/F66*D63)/(C73+Q66),"")</f>
        <v/>
      </c>
      <c r="H73" s="1" t="str">
        <f>IF(C73,(M67)/(C73+Q67),"")</f>
        <v/>
      </c>
      <c r="I73" s="1" t="str">
        <f>IF(C73,(M68)/(C73+Q68),"")</f>
        <v/>
      </c>
      <c r="J73" s="1" t="str">
        <f>IF(C73,(M69)/(C73+Q69),"")</f>
        <v/>
      </c>
      <c r="K73" s="14" t="str">
        <f>IF(AND(C73&lt;&gt;"",N63&lt;&gt;""),9.8*N63*LN((C73+Q65)/(C73+R65)),"")</f>
        <v/>
      </c>
      <c r="L73" s="1" t="str">
        <f>IF(C73,9.8*F66*LN((C73+Q66)/(C73+R66)),"")</f>
        <v/>
      </c>
      <c r="M73" s="1" t="str">
        <f>IF(C73,9.8*F67*LN((C73+Q67)/(C73+R67)),"")</f>
        <v/>
      </c>
      <c r="N73" s="1" t="str">
        <f>IF(C73,9.8*F68*LN((C73+Q68)/(C73+R68)),"")</f>
        <v/>
      </c>
      <c r="O73" s="1" t="str">
        <f>IF(C73,9.8*F69*LN((C73+Q69)/(C73+R69)),"")</f>
        <v/>
      </c>
      <c r="P73" s="15" t="str">
        <f>IF(C73,SUM(K73:O73),"")</f>
        <v/>
      </c>
      <c r="Q73" s="1"/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/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54</v>
      </c>
      <c r="D75" s="12" t="s">
        <v>28</v>
      </c>
      <c r="E75" s="12" t="s">
        <v>266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>
        <v>25</v>
      </c>
      <c r="D76" s="1">
        <f>IF(C76,C76+Q65,"")</f>
        <v>775</v>
      </c>
      <c r="E76" s="72">
        <f>IF(C76,C76/D76,"")</f>
        <v>3.2258064516129031E-2</v>
      </c>
      <c r="F76" s="14" t="str">
        <f>IF(AND(C76&lt;&gt;"",N63&lt;&gt;""),(M65/F65*E63+M66/F66*D63)/(C76+U65),"")</f>
        <v/>
      </c>
      <c r="G76" s="1">
        <f>IF(C76,IF(AND(F65&lt;&gt;0,C63&lt;&gt;0),M66,M66/F66*D63)/(C76+U66),"")</f>
        <v>1.3167000993945965</v>
      </c>
      <c r="H76" s="1">
        <f>IF(C76,(M67)/(C76+U67),"")</f>
        <v>1.0662222222222222</v>
      </c>
      <c r="I76" s="1">
        <f>IF(C76,(M68)/(C76+U68),"")</f>
        <v>0</v>
      </c>
      <c r="J76" s="1">
        <f>IF(C76,(M69)/(C76+U69),"")</f>
        <v>0</v>
      </c>
      <c r="K76" s="14" t="str">
        <f>IF(AND(C76&lt;&gt;"",N63&lt;&gt;""),9.8*N63*LN((C76+U65)/(C76+V65)),"")</f>
        <v/>
      </c>
      <c r="L76" s="1">
        <f>IF(C76,9.8*F66*LN((C76+U66)/(C76+V66)),"")</f>
        <v>3171.4663738147988</v>
      </c>
      <c r="M76" s="1">
        <f>IF(C76,9.8*F67*LN((C76+U67)/(C76+V67)),"")</f>
        <v>6413.7549919548719</v>
      </c>
      <c r="N76" s="1">
        <f>IF(C76,9.8*F68*LN((C76+U68)/(C76+V68)),"")</f>
        <v>0</v>
      </c>
      <c r="O76" s="1">
        <f>IF(C76,9.8*F69*LN((C76+U69)/(C76+V69)),"")</f>
        <v>0</v>
      </c>
      <c r="P76" s="15">
        <f>IF(C76,SUM(K76:O76),"")</f>
        <v>9585.2213657696702</v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>
        <v>5</v>
      </c>
      <c r="D77" s="1">
        <f>IF(C77,C77+Q65,"")</f>
        <v>755</v>
      </c>
      <c r="E77" s="72">
        <f t="shared" ref="E77:E79" si="22">IF(C77,C77/D77,"")</f>
        <v>6.6225165562913907E-3</v>
      </c>
      <c r="F77" s="14" t="str">
        <f>IF(AND(C77&lt;&gt;"",N63&lt;&gt;""),(M65/F65*E63+M66/F66*D63)/(C77+U65),"")</f>
        <v/>
      </c>
      <c r="G77" s="1">
        <f>IF(C77,IF(AND(F65&lt;&gt;0,C63&lt;&gt;0),M66,M66/F66*D63)/(C77+U66),"")</f>
        <v>1.3515795722262416</v>
      </c>
      <c r="H77" s="1">
        <f>IF(C77,(M67)/(C77+U67),"")</f>
        <v>1.1702439024390243</v>
      </c>
      <c r="I77" s="1">
        <f>IF(C77,(M68)/(C77+U68),"")</f>
        <v>0</v>
      </c>
      <c r="J77" s="1">
        <f>IF(C77,(M69)/(C77+U69),"")</f>
        <v>0</v>
      </c>
      <c r="K77" s="14" t="str">
        <f>IF(AND(C77&lt;&gt;"",N63&lt;&gt;""),9.8*N63*LN((C77+U65)/(C77+V65)),"")</f>
        <v/>
      </c>
      <c r="L77" s="1">
        <f>IF(C77,9.8*F66*LN((C77+U66)/(C77+V66)),"")</f>
        <v>3310.9699297676952</v>
      </c>
      <c r="M77" s="1">
        <f>IF(C77,9.8*F67*LN((C77+U67)/(C77+V67)),"")</f>
        <v>8686.3966603506979</v>
      </c>
      <c r="N77" s="1">
        <f>IF(C77,9.8*F68*LN((C77+U68)/(C77+V68)),"")</f>
        <v>0</v>
      </c>
      <c r="O77" s="1">
        <f>IF(C77,9.8*F69*LN((C77+U69)/(C77+V69)),"")</f>
        <v>0</v>
      </c>
      <c r="P77" s="15">
        <f>IF(C77,SUM(K77:O77),"")</f>
        <v>11997.366590118392</v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/>
      <c r="D78" s="1" t="str">
        <f>IF(C78,C78+Q65,"")</f>
        <v/>
      </c>
      <c r="E78" s="72" t="str">
        <f t="shared" si="22"/>
        <v/>
      </c>
      <c r="F78" s="14" t="str">
        <f>IF(AND(C78&lt;&gt;"",N63&lt;&gt;""),(M65/F65*E63+M66/F66*D63)/(C78+U65),"")</f>
        <v/>
      </c>
      <c r="G78" s="1" t="str">
        <f>IF(C78,IF(AND(F65&lt;&gt;0,C63&lt;&gt;0),M66,M66/F66*D63)/(C78+U66),"")</f>
        <v/>
      </c>
      <c r="H78" s="1" t="str">
        <f>IF(C78,(M67)/(C78+U67),"")</f>
        <v/>
      </c>
      <c r="I78" s="1" t="str">
        <f>IF(C78,(M68)/(C78+U68),"")</f>
        <v/>
      </c>
      <c r="J78" s="1" t="str">
        <f>IF(C78,(M69)/(C78+U69),"")</f>
        <v/>
      </c>
      <c r="K78" s="14" t="str">
        <f>IF(AND(C78&lt;&gt;"",N63&lt;&gt;""),9.8*N63*LN((C78+U65)/(C78+V65)),"")</f>
        <v/>
      </c>
      <c r="L78" s="1" t="str">
        <f>IF(C78,9.8*F66*LN((C78+U66)/(C78+V66)),"")</f>
        <v/>
      </c>
      <c r="M78" s="1" t="str">
        <f>IF(C78,9.8*F67*LN((C78+U67)/(C78+V67)),"")</f>
        <v/>
      </c>
      <c r="N78" s="1" t="str">
        <f>IF(C78,9.8*F68*LN((C78+U68)/(C78+V68)),"")</f>
        <v/>
      </c>
      <c r="O78" s="1" t="str">
        <f>IF(C78,9.8*F69*LN((C78+U69)/(C78+V69)),"")</f>
        <v/>
      </c>
      <c r="P78" s="15" t="str">
        <f>IF(C78,SUM(K78:O78),"")</f>
        <v/>
      </c>
      <c r="Q78" s="1"/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46</v>
      </c>
      <c r="B79" s="49" t="s">
        <v>33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402</v>
      </c>
      <c r="B81" s="52"/>
      <c r="C81" s="29" t="s">
        <v>0</v>
      </c>
      <c r="D81" s="90" t="s">
        <v>41</v>
      </c>
      <c r="E81" s="90"/>
      <c r="F81" s="43"/>
      <c r="G81" s="43"/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403</v>
      </c>
      <c r="B82" s="39"/>
      <c r="C82" s="2">
        <v>0</v>
      </c>
      <c r="D82" s="2">
        <v>319</v>
      </c>
      <c r="E82" s="2">
        <v>0</v>
      </c>
      <c r="F82" s="41"/>
      <c r="G82" s="42"/>
      <c r="H82" s="42"/>
      <c r="I82" s="24" t="s">
        <v>423</v>
      </c>
      <c r="J82" s="24"/>
      <c r="K82" s="24"/>
      <c r="L82" s="55">
        <f>IFERROR(IF(AND(F84&lt;&gt;0,C82&lt;&gt;0),M84/F84*E82+M85/F85*D82,M85/F85*D82),0)</f>
        <v>1836.8859943977589</v>
      </c>
      <c r="M82" s="53" t="s">
        <v>45</v>
      </c>
      <c r="N82" s="17" t="str">
        <f>IF(AND(F84&lt;&gt;0,C82&lt;&gt;0),(M84+M85)/(M84/F84+M85/F85),"")</f>
        <v/>
      </c>
      <c r="O82" s="56" t="s">
        <v>46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60</v>
      </c>
      <c r="D83" s="1" t="s">
        <v>61</v>
      </c>
      <c r="E83" s="1" t="s">
        <v>62</v>
      </c>
      <c r="F83" s="1" t="s">
        <v>63</v>
      </c>
      <c r="G83" s="1" t="s">
        <v>64</v>
      </c>
      <c r="H83" s="1" t="s">
        <v>65</v>
      </c>
      <c r="I83" s="60" t="str">
        <f>HYPERLINK(":\Reference\全流量甲烷火箭.jpg","全流量甲烷火箭.jpg")</f>
        <v>全流量甲烷火箭.jpg</v>
      </c>
      <c r="J83" s="24"/>
      <c r="K83" s="24"/>
      <c r="L83" s="11" t="s">
        <v>6</v>
      </c>
      <c r="M83" s="12" t="s">
        <v>69</v>
      </c>
      <c r="N83" s="12" t="s">
        <v>15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16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/>
      <c r="D84" s="4"/>
      <c r="E84" s="4"/>
      <c r="F84" s="4"/>
      <c r="G84" s="19"/>
      <c r="H84" s="20"/>
      <c r="I84" s="60" t="str">
        <f>HYPERLINK(":\Reference\全流量补燃循环液氧甲烷发动机系统方案研究.png","全流量补燃循环液氧甲烷发动机系统方案研究.png")</f>
        <v>全流量补燃循环液氧甲烷发动机系统方案研究.png</v>
      </c>
      <c r="J84" s="24"/>
      <c r="K84" s="24"/>
      <c r="L84" s="14">
        <f>C84*C82</f>
        <v>0</v>
      </c>
      <c r="M84" s="1">
        <f>E84*C82</f>
        <v>0</v>
      </c>
      <c r="N84" s="1">
        <f>IF(D84,L84/D84,0)</f>
        <v>0</v>
      </c>
      <c r="O84" s="15">
        <f>L84-N84</f>
        <v>0</v>
      </c>
      <c r="P84" s="14">
        <f>IF(AND(F84&lt;&gt;0,C82&lt;&gt;0),O84/M84*F84/IF(G84,G84,1),0)</f>
        <v>0</v>
      </c>
      <c r="Q84" s="1">
        <f>SUM(L84:L88)</f>
        <v>1340</v>
      </c>
      <c r="R84" s="15">
        <f>N84+Q85</f>
        <v>1340</v>
      </c>
      <c r="S84" s="14">
        <f>N84+H84*O84</f>
        <v>0</v>
      </c>
      <c r="T84" s="1">
        <f>IF(AND(F84&lt;&gt;0,C82&lt;&gt;0),(1-H84)*O84/M84*F84/IF(G84,G84,1),0)</f>
        <v>0</v>
      </c>
      <c r="U84" s="1">
        <f>SUM(L84:L88)</f>
        <v>1340</v>
      </c>
      <c r="V84" s="1">
        <f>S84+U85</f>
        <v>1340</v>
      </c>
    </row>
    <row r="85" spans="1:22">
      <c r="A85" s="47"/>
      <c r="B85" s="27">
        <v>1</v>
      </c>
      <c r="C85" s="5">
        <v>1080</v>
      </c>
      <c r="D85" s="1">
        <v>16</v>
      </c>
      <c r="E85" s="1">
        <v>2055.6999999999998</v>
      </c>
      <c r="F85" s="1">
        <v>357</v>
      </c>
      <c r="G85" s="5">
        <v>1</v>
      </c>
      <c r="H85" s="21">
        <v>9.4E-2</v>
      </c>
      <c r="I85" s="30" t="s">
        <v>424</v>
      </c>
      <c r="J85" s="30"/>
      <c r="K85" s="30"/>
      <c r="L85" s="14">
        <f>C85</f>
        <v>1080</v>
      </c>
      <c r="M85" s="1">
        <f>E85</f>
        <v>2055.6999999999998</v>
      </c>
      <c r="N85" s="1">
        <f>IF(D85,L85/D85,0)</f>
        <v>67.5</v>
      </c>
      <c r="O85" s="15">
        <f>L85-N85</f>
        <v>1012.5</v>
      </c>
      <c r="P85" s="14">
        <f t="shared" ref="P85:P88" si="24">IF(F85,O85/M85*F85/IF(G85,G85,1),0)</f>
        <v>175.8342657002481</v>
      </c>
      <c r="Q85" s="1">
        <f>IF(F85,SUM(L85:L88)-P84*M85/F85*IF(G85,G85,1),0)</f>
        <v>1340</v>
      </c>
      <c r="R85" s="15">
        <f>N85+Q86</f>
        <v>327.5</v>
      </c>
      <c r="S85" s="14">
        <f>N85+H85*O85</f>
        <v>162.67500000000001</v>
      </c>
      <c r="T85" s="1">
        <f>IF(F85,(1-H85)*O85/M85*F85/IF(G85,G85,1),0)</f>
        <v>159.30584472442479</v>
      </c>
      <c r="U85" s="1">
        <f>IF(F85,SUM(L85:L88)-T84*M85/F85*IF(G85,G85,1),0)</f>
        <v>1340</v>
      </c>
      <c r="V85" s="1">
        <f>S85+U86</f>
        <v>422.67500000000001</v>
      </c>
    </row>
    <row r="86" spans="1:22">
      <c r="A86" s="47"/>
      <c r="B86" s="27">
        <v>2</v>
      </c>
      <c r="C86" s="5">
        <v>260</v>
      </c>
      <c r="D86" s="1">
        <v>15</v>
      </c>
      <c r="E86" s="1">
        <v>239.9</v>
      </c>
      <c r="F86" s="1">
        <v>375</v>
      </c>
      <c r="G86" s="5"/>
      <c r="H86" s="21"/>
      <c r="I86" s="30" t="s">
        <v>425</v>
      </c>
      <c r="J86" s="30"/>
      <c r="K86" s="30"/>
      <c r="L86" s="14">
        <f>C86</f>
        <v>260</v>
      </c>
      <c r="M86" s="1">
        <f>E86</f>
        <v>239.9</v>
      </c>
      <c r="N86" s="1">
        <f>IF(D86,L86/D86,0)</f>
        <v>17.333333333333332</v>
      </c>
      <c r="O86" s="15">
        <f>L86-N86</f>
        <v>242.66666666666666</v>
      </c>
      <c r="P86" s="14">
        <f t="shared" si="24"/>
        <v>379.32471863276362</v>
      </c>
      <c r="Q86" s="1">
        <f>SUM(L86:L88)</f>
        <v>260</v>
      </c>
      <c r="R86" s="15">
        <f>N86+Q87</f>
        <v>17.333333333333332</v>
      </c>
      <c r="S86" s="14">
        <f>N86+H86*O86</f>
        <v>17.333333333333332</v>
      </c>
      <c r="T86" s="1">
        <f t="shared" ref="T86:T88" si="25">IF(F86,(1-H86)*O86/M86*F86/IF(G86,G86,1),0)</f>
        <v>379.32471863276362</v>
      </c>
      <c r="U86" s="1">
        <f>SUM(L86:L88)</f>
        <v>260</v>
      </c>
      <c r="V86" s="1">
        <f>S86+U87</f>
        <v>17.333333333333332</v>
      </c>
    </row>
    <row r="87" spans="1:22">
      <c r="A87" s="33" t="s">
        <v>45</v>
      </c>
      <c r="B87" s="27">
        <v>3</v>
      </c>
      <c r="C87" s="5"/>
      <c r="D87" s="1"/>
      <c r="E87" s="1"/>
      <c r="F87" s="1"/>
      <c r="G87" s="5"/>
      <c r="H87" s="21"/>
      <c r="I87" s="30"/>
      <c r="J87" s="30"/>
      <c r="K87" s="30"/>
      <c r="L87" s="14">
        <f>C87</f>
        <v>0</v>
      </c>
      <c r="M87" s="1">
        <f>E87</f>
        <v>0</v>
      </c>
      <c r="N87" s="1">
        <f>IF(D87,L87/D87,0)</f>
        <v>0</v>
      </c>
      <c r="O87" s="15">
        <f>L87-N87</f>
        <v>0</v>
      </c>
      <c r="P87" s="14">
        <f t="shared" si="24"/>
        <v>0</v>
      </c>
      <c r="Q87" s="1">
        <f>SUM(L87:L88)</f>
        <v>0</v>
      </c>
      <c r="R87" s="15">
        <f>N87+Q88</f>
        <v>0</v>
      </c>
      <c r="S87" s="14">
        <f>N87+H87*O87</f>
        <v>0</v>
      </c>
      <c r="T87" s="1">
        <f t="shared" si="25"/>
        <v>0</v>
      </c>
      <c r="U87" s="1">
        <f>SUM(L87:L88)</f>
        <v>0</v>
      </c>
      <c r="V87" s="1">
        <f>S87+U88</f>
        <v>0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265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85" t="s">
        <v>42</v>
      </c>
      <c r="R89" s="85"/>
      <c r="S89" s="85"/>
      <c r="T89" s="31" t="s">
        <v>50</v>
      </c>
      <c r="U89" s="35" t="s">
        <v>47</v>
      </c>
      <c r="V89" s="36" t="s">
        <v>264</v>
      </c>
    </row>
    <row r="90" spans="1:22">
      <c r="A90" s="47"/>
      <c r="B90" s="27" t="s">
        <v>30</v>
      </c>
      <c r="C90" s="8">
        <v>63</v>
      </c>
      <c r="D90" s="1">
        <f>IF(C90,C90+Q84,"")</f>
        <v>1403</v>
      </c>
      <c r="E90" s="72">
        <f>IF(C90,C90/D90,"")</f>
        <v>4.4903777619387027E-2</v>
      </c>
      <c r="F90" s="14" t="str">
        <f>IF(AND(C90&lt;&gt;"",N82&lt;&gt;""),(M84/F84*E82+M85/F85*D82)/(C90+Q84),"")</f>
        <v/>
      </c>
      <c r="G90" s="1">
        <f>IF(C90,IF(AND(F84&lt;&gt;0,C82&lt;&gt;0),M85,M85/F85*D82)/(C90+Q85),"")</f>
        <v>1.3092558762635487</v>
      </c>
      <c r="H90" s="1">
        <f>IF(C90,(M86)/(C90+Q86),"")</f>
        <v>0.74272445820433441</v>
      </c>
      <c r="I90" s="1">
        <f>IF(C90,(M87)/(C90+Q87),"")</f>
        <v>0</v>
      </c>
      <c r="J90" s="1">
        <f>IF(C90,(M88)/(C90+Q88),"")</f>
        <v>0</v>
      </c>
      <c r="K90" s="14" t="str">
        <f>IF(AND(C90&lt;&gt;"",N82&lt;&gt;""),9.8*N82*LN((C90+Q84)/(C90+R84)),"")</f>
        <v/>
      </c>
      <c r="L90" s="1">
        <f>IF(C90,9.8*F85*LN((C90+Q85)/(C90+R85)),"")</f>
        <v>4474.4998717243698</v>
      </c>
      <c r="M90" s="1">
        <f>IF(C90,9.8*F86*LN((C90+Q86)/(C90+R86)),"")</f>
        <v>5113.6437181204092</v>
      </c>
      <c r="N90" s="1">
        <f>IF(C90,9.8*F87*LN((C90+Q87)/(C90+R87)),"")</f>
        <v>0</v>
      </c>
      <c r="O90" s="1">
        <f>IF(C90,9.8*F88*LN((C90+Q88)/(C90+R88)),"")</f>
        <v>0</v>
      </c>
      <c r="P90" s="15">
        <f>IF(C90,SUM(K90:O90),"")</f>
        <v>9588.143589844778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47</v>
      </c>
      <c r="B91" s="27" t="s">
        <v>31</v>
      </c>
      <c r="C91" s="9">
        <v>22</v>
      </c>
      <c r="D91" s="1">
        <f>IF(C91,C91+Q84,"")</f>
        <v>1362</v>
      </c>
      <c r="E91" s="72">
        <f t="shared" ref="E91:E93" si="26">IF(C91,C91/D91,"")</f>
        <v>1.6152716593245228E-2</v>
      </c>
      <c r="F91" s="14" t="str">
        <f>IF(AND(C91&lt;&gt;"",N82&lt;&gt;""),(M84/F84*E82+M85/F85*D82)/(C91+Q84),"")</f>
        <v/>
      </c>
      <c r="G91" s="1">
        <f>IF(C91,IF(AND(F84&lt;&gt;0,C82&lt;&gt;0),M85,M85/F85*D82)/(C91+Q85),"")</f>
        <v>1.3486681309822017</v>
      </c>
      <c r="H91" s="1">
        <f>IF(C91,(M86)/(C91+Q86),"")</f>
        <v>0.85070921985815606</v>
      </c>
      <c r="I91" s="1">
        <f>IF(C91,(M87)/(C91+Q87),"")</f>
        <v>0</v>
      </c>
      <c r="J91" s="1">
        <f>IF(C91,(M88)/(C91+Q88),"")</f>
        <v>0</v>
      </c>
      <c r="K91" s="14" t="str">
        <f>IF(AND(C91&lt;&gt;"",N82&lt;&gt;""),9.8*N82*LN((C91+Q84)/(C91+R84)),"")</f>
        <v/>
      </c>
      <c r="L91" s="1">
        <f>IF(C91,9.8*F85*LN((C91+Q85)/(C91+R85)),"")</f>
        <v>4758.8164493295253</v>
      </c>
      <c r="M91" s="1">
        <f>IF(C91,9.8*F86*LN((C91+Q86)/(C91+R86)),"")</f>
        <v>7239.1426516415531</v>
      </c>
      <c r="N91" s="1">
        <f>IF(C91,9.8*F87*LN((C91+Q87)/(C91+R87)),"")</f>
        <v>0</v>
      </c>
      <c r="O91" s="1">
        <f>IF(C91,9.8*F88*LN((C91+Q88)/(C91+R88)),"")</f>
        <v>0</v>
      </c>
      <c r="P91" s="15">
        <f>IF(C91,SUM(K91:O91),"")</f>
        <v>11997.959100971078</v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36</v>
      </c>
      <c r="C92" s="9"/>
      <c r="D92" s="1" t="str">
        <f>IF(C92,C92+Q84,"")</f>
        <v/>
      </c>
      <c r="E92" s="72" t="str">
        <f t="shared" si="26"/>
        <v/>
      </c>
      <c r="F92" s="14" t="str">
        <f>IF(AND(C92&lt;&gt;"",N82&lt;&gt;""),(M84/F84*E82+M85/F85*D82)/(C92+Q84),"")</f>
        <v/>
      </c>
      <c r="G92" s="1" t="str">
        <f>IF(C92,IF(AND(F84&lt;&gt;0,C82&lt;&gt;0),M85,M85/F85*D82)/(C92+Q85),"")</f>
        <v/>
      </c>
      <c r="H92" s="1" t="str">
        <f>IF(C92,(M86)/(C92+Q86),"")</f>
        <v/>
      </c>
      <c r="I92" s="1" t="str">
        <f>IF(C92,(M87)/(C92+Q87),"")</f>
        <v/>
      </c>
      <c r="J92" s="1" t="str">
        <f>IF(C92,(M88)/(C92+Q88),"")</f>
        <v/>
      </c>
      <c r="K92" s="14" t="str">
        <f>IF(AND(C92&lt;&gt;"",N82&lt;&gt;""),9.8*N82*LN((C92+Q84)/(C92+R84)),"")</f>
        <v/>
      </c>
      <c r="L92" s="1" t="str">
        <f>IF(C92,9.8*F85*LN((C92+Q85)/(C92+R85)),"")</f>
        <v/>
      </c>
      <c r="M92" s="1" t="str">
        <f>IF(C92,9.8*F86*LN((C92+Q86)/(C92+R86)),"")</f>
        <v/>
      </c>
      <c r="N92" s="1" t="str">
        <f>IF(C92,9.8*F87*LN((C92+Q87)/(C92+R87)),"")</f>
        <v/>
      </c>
      <c r="O92" s="1" t="str">
        <f>IF(C92,9.8*F88*LN((C92+Q88)/(C92+R88)),"")</f>
        <v/>
      </c>
      <c r="P92" s="15" t="str">
        <f>IF(C92,SUM(K92:O92),"")</f>
        <v/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/>
      <c r="D93" s="1" t="str">
        <f>IF(C93,C93+Q84,"")</f>
        <v/>
      </c>
      <c r="E93" s="72" t="str">
        <f t="shared" si="26"/>
        <v/>
      </c>
      <c r="F93" s="14" t="str">
        <f>IF(AND(C93&lt;&gt;"",N82&lt;&gt;""),(M84/F84*E82+M85/F85*D82)/(C93+Q84),"")</f>
        <v/>
      </c>
      <c r="G93" s="1" t="str">
        <f>IF(C93,IF(AND(F84&lt;&gt;0,C82&lt;&gt;0),M85,M85/F85*D82)/(C93+Q85),"")</f>
        <v/>
      </c>
      <c r="H93" s="1" t="str">
        <f>IF(C93,(M86)/(C93+Q86),"")</f>
        <v/>
      </c>
      <c r="I93" s="1" t="str">
        <f>IF(C93,(M87)/(C93+Q87),"")</f>
        <v/>
      </c>
      <c r="J93" s="1" t="str">
        <f>IF(C93,(M88)/(C93+Q88),"")</f>
        <v/>
      </c>
      <c r="K93" s="14" t="str">
        <f>IF(AND(C93&lt;&gt;"",N82&lt;&gt;""),9.8*N82*LN((C93+Q84)/(C93+R84)),"")</f>
        <v/>
      </c>
      <c r="L93" s="1" t="str">
        <f>IF(C93,9.8*F85*LN((C93+Q85)/(C93+R85)),"")</f>
        <v/>
      </c>
      <c r="M93" s="1" t="str">
        <f>IF(C93,9.8*F86*LN((C93+Q86)/(C93+R86)),"")</f>
        <v/>
      </c>
      <c r="N93" s="1" t="str">
        <f>IF(C93,9.8*F87*LN((C93+Q87)/(C93+R87)),"")</f>
        <v/>
      </c>
      <c r="O93" s="1" t="str">
        <f>IF(C93,9.8*F88*LN((C93+Q88)/(C93+R88)),"")</f>
        <v/>
      </c>
      <c r="P93" s="15" t="str">
        <f>IF(C93,SUM(K93:O93),"")</f>
        <v/>
      </c>
      <c r="Q93" s="17"/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54</v>
      </c>
      <c r="D94" s="12" t="s">
        <v>28</v>
      </c>
      <c r="E94" s="12" t="s">
        <v>266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85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>
        <v>46</v>
      </c>
      <c r="D95" s="1">
        <f>IF(C95,C95+Q84,"")</f>
        <v>1386</v>
      </c>
      <c r="E95" s="72">
        <f>IF(C95,C95/D95,"")</f>
        <v>3.3189033189033192E-2</v>
      </c>
      <c r="F95" s="14" t="str">
        <f>IF(AND(C95&lt;&gt;"",N82&lt;&gt;""),(M84/F84*E82+M85/F85*D82)/(C95+U84),"")</f>
        <v/>
      </c>
      <c r="G95" s="1">
        <f>IF(C95,IF(AND(F84&lt;&gt;0,C82&lt;&gt;0),M85,M85/F85*D82)/(C95+U85),"")</f>
        <v>1.3253145702725533</v>
      </c>
      <c r="H95" s="1">
        <f>IF(C95,(M86)/(C95+U86),"")</f>
        <v>0.78398692810457515</v>
      </c>
      <c r="I95" s="1">
        <f>IF(C95,(M87)/(C95+U87),"")</f>
        <v>0</v>
      </c>
      <c r="J95" s="1">
        <f>IF(C95,(M88)/(C95+U88),"")</f>
        <v>0</v>
      </c>
      <c r="K95" s="14" t="str">
        <f>IF(AND(C95&lt;&gt;"",N82&lt;&gt;""),9.8*N82*LN((C95+U84)/(C95+V84)),"")</f>
        <v/>
      </c>
      <c r="L95" s="1">
        <f>IF(C95,9.8*F85*LN((C95+U85)/(C95+V85)),"")</f>
        <v>3793.418678771704</v>
      </c>
      <c r="M95" s="1">
        <f>IF(C95,9.8*F86*LN((C95+U86)/(C95+V86)),"")</f>
        <v>5788.7619453405168</v>
      </c>
      <c r="N95" s="1">
        <f>IF(C95,9.8*F87*LN((C95+U87)/(C95+V87)),"")</f>
        <v>0</v>
      </c>
      <c r="O95" s="1">
        <f>IF(C95,9.8*F88*LN((C95+U88)/(C95+V88)),"")</f>
        <v>0</v>
      </c>
      <c r="P95" s="15">
        <f>IF(C95,SUM(K95:O95),"")</f>
        <v>9582.1806241122213</v>
      </c>
      <c r="Q95" s="1" t="s">
        <v>533</v>
      </c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>
        <v>13.5</v>
      </c>
      <c r="D96" s="1">
        <f>IF(C96,C96+Q84,"")</f>
        <v>1353.5</v>
      </c>
      <c r="E96" s="72">
        <f t="shared" ref="E96:E98" si="28">IF(C96,C96/D96,"")</f>
        <v>9.9741411156261551E-3</v>
      </c>
      <c r="F96" s="14" t="str">
        <f>IF(AND(C96&lt;&gt;"",N82&lt;&gt;""),(M84/F84*E82+M85/F85*D82)/(C96+U84),"")</f>
        <v/>
      </c>
      <c r="G96" s="1">
        <f>IF(C96,IF(AND(F84&lt;&gt;0,C82&lt;&gt;0),M85,M85/F85*D82)/(C96+U85),"")</f>
        <v>1.3571377867733718</v>
      </c>
      <c r="H96" s="1">
        <f>IF(C96,(M86)/(C96+U86),"")</f>
        <v>0.87714808043875692</v>
      </c>
      <c r="I96" s="1">
        <f>IF(C96,(M87)/(C96+U87),"")</f>
        <v>0</v>
      </c>
      <c r="J96" s="1">
        <f>IF(C96,(M88)/(C96+U88),"")</f>
        <v>0</v>
      </c>
      <c r="K96" s="14" t="str">
        <f>IF(AND(C96&lt;&gt;"",N82&lt;&gt;""),9.8*N82*LN((C96+U84)/(C96+V84)),"")</f>
        <v/>
      </c>
      <c r="L96" s="1">
        <f>IF(C96,9.8*F85*LN((C96+U85)/(C96+V85)),"")</f>
        <v>3961.834127511243</v>
      </c>
      <c r="M96" s="1">
        <f>IF(C96,9.8*F86*LN((C96+U86)/(C96+V86)),"")</f>
        <v>8021.4418525932406</v>
      </c>
      <c r="N96" s="1">
        <f>IF(C96,9.8*F87*LN((C96+U87)/(C96+V87)),"")</f>
        <v>0</v>
      </c>
      <c r="O96" s="1">
        <f>IF(C96,9.8*F88*LN((C96+U88)/(C96+V88)),"")</f>
        <v>0</v>
      </c>
      <c r="P96" s="15">
        <f>IF(C96,SUM(K96:O96),"")</f>
        <v>11983.275980104483</v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46</v>
      </c>
      <c r="B98" s="49" t="s">
        <v>33</v>
      </c>
      <c r="C98" s="50"/>
      <c r="D98" s="25" t="str">
        <f>IF(C98,C98+Q84,"")</f>
        <v/>
      </c>
      <c r="E98" s="73" t="str">
        <f t="shared" si="28"/>
        <v/>
      </c>
      <c r="F98" s="70" t="str">
        <f>IF(AND(C98&lt;&gt;"",N82&lt;&gt;""),(M84/F84*E82+M85/F85*D82)/(C98+U84),"")</f>
        <v/>
      </c>
      <c r="G98" s="25" t="str">
        <f>IF(C98,IF(AND(F84&lt;&gt;0,C82&lt;&gt;0),M85,M85/F85*D82)/(C98+U85),"")</f>
        <v/>
      </c>
      <c r="H98" s="25" t="str">
        <f>IF(C98,(M86)/(C98+U86),"")</f>
        <v/>
      </c>
      <c r="I98" s="25" t="str">
        <f>IF(C98,(M87)/(C98+U87),"")</f>
        <v/>
      </c>
      <c r="J98" s="25" t="str">
        <f>IF(C98,(M88)/(C98+U88),"")</f>
        <v/>
      </c>
      <c r="K98" s="70" t="str">
        <f>IF(AND(C98&lt;&gt;"",N82&lt;&gt;""),9.8*N82*LN((C98+U84)/(C98+V84)),"")</f>
        <v/>
      </c>
      <c r="L98" s="25" t="str">
        <f>IF(C98,9.8*F85*LN((C98+U85)/(C98+V85)),"")</f>
        <v/>
      </c>
      <c r="M98" s="25" t="str">
        <f>IF(C98,9.8*F86*LN((C98+U86)/(C98+V86)),"")</f>
        <v/>
      </c>
      <c r="N98" s="25" t="str">
        <f>IF(C98,9.8*F87*LN((C98+U87)/(C98+V87)),"")</f>
        <v/>
      </c>
      <c r="O98" s="25" t="str">
        <f>IF(C98,9.8*F88*LN((C98+U88)/(C98+V88)),"")</f>
        <v/>
      </c>
      <c r="P98" s="71" t="str">
        <f>IF(C98,SUM(K98:O98),"")</f>
        <v/>
      </c>
      <c r="Q98" s="25"/>
      <c r="R98" s="25"/>
      <c r="S98" s="25"/>
      <c r="T98" s="51" t="str">
        <f t="shared" si="29"/>
        <v/>
      </c>
      <c r="U98" s="25"/>
      <c r="V98" s="25"/>
    </row>
    <row r="99" spans="1:22" ht="15" thickBot="1"/>
    <row r="100" spans="1:22" ht="15" thickBot="1">
      <c r="A100" s="52" t="s">
        <v>404</v>
      </c>
      <c r="B100" s="52"/>
      <c r="C100" s="29" t="s">
        <v>0</v>
      </c>
      <c r="D100" s="90" t="s">
        <v>41</v>
      </c>
      <c r="E100" s="90"/>
      <c r="F100" s="43"/>
      <c r="G100" s="43"/>
      <c r="H100" s="43"/>
      <c r="I100" s="86" t="s">
        <v>42</v>
      </c>
      <c r="J100" s="86"/>
      <c r="K100" s="86"/>
      <c r="L100" s="54" t="s">
        <v>70</v>
      </c>
      <c r="M100" s="86" t="s">
        <v>71</v>
      </c>
      <c r="N100" s="86"/>
      <c r="O100" s="87"/>
      <c r="P100" s="29" t="s">
        <v>49</v>
      </c>
      <c r="Q100" s="34" t="str">
        <f>IF(OR(P104&lt;P103,T104&lt;T103),"芯级燃烧时间不得小于助推燃烧时间！","")</f>
        <v/>
      </c>
      <c r="R100" s="44"/>
      <c r="S100" s="45"/>
      <c r="T100" s="29"/>
      <c r="U100" s="46" t="s">
        <v>45</v>
      </c>
      <c r="V100" s="46" t="s">
        <v>48</v>
      </c>
    </row>
    <row r="101" spans="1:22" ht="15" thickBot="1">
      <c r="A101" s="40" t="s">
        <v>405</v>
      </c>
      <c r="B101" s="39"/>
      <c r="C101" s="2">
        <v>0</v>
      </c>
      <c r="D101" s="2">
        <v>319</v>
      </c>
      <c r="E101" s="2">
        <v>0</v>
      </c>
      <c r="F101" s="41"/>
      <c r="G101" s="42"/>
      <c r="H101" s="42"/>
      <c r="I101" s="24" t="s">
        <v>430</v>
      </c>
      <c r="J101" s="24"/>
      <c r="K101" s="24"/>
      <c r="L101" s="55">
        <f>IFERROR(IF(AND(F103&lt;&gt;0,C101&lt;&gt;0),M103/F103*E101+M104/F104*D101,M104/F104*D101),0)</f>
        <v>2653.329411764706</v>
      </c>
      <c r="M101" s="53" t="s">
        <v>45</v>
      </c>
      <c r="N101" s="17" t="str">
        <f>IF(AND(F103&lt;&gt;0,C101&lt;&gt;0),(M103+M104)/(M103/F103+M104/F104),"")</f>
        <v/>
      </c>
      <c r="O101" s="56" t="s">
        <v>46</v>
      </c>
      <c r="P101" s="89" t="s">
        <v>17</v>
      </c>
      <c r="Q101" s="89"/>
      <c r="R101" s="91"/>
      <c r="S101" s="88" t="s">
        <v>18</v>
      </c>
      <c r="T101" s="89"/>
      <c r="U101" s="89"/>
      <c r="V101" s="89"/>
    </row>
    <row r="102" spans="1:22" ht="15" thickBot="1">
      <c r="A102" s="33" t="s">
        <v>45</v>
      </c>
      <c r="B102" s="26" t="s">
        <v>39</v>
      </c>
      <c r="C102" s="1" t="s">
        <v>60</v>
      </c>
      <c r="D102" s="1" t="s">
        <v>61</v>
      </c>
      <c r="E102" s="1" t="s">
        <v>62</v>
      </c>
      <c r="F102" s="1" t="s">
        <v>63</v>
      </c>
      <c r="G102" s="1" t="s">
        <v>64</v>
      </c>
      <c r="H102" s="1" t="s">
        <v>65</v>
      </c>
      <c r="I102" s="60" t="str">
        <f>HYPERLINK(":\Reference\火箭发展建议.jpg","火箭发展建议.jpg")</f>
        <v>火箭发展建议.jpg</v>
      </c>
      <c r="J102" s="24"/>
      <c r="K102" s="24"/>
      <c r="L102" s="11" t="s">
        <v>6</v>
      </c>
      <c r="M102" s="12" t="s">
        <v>69</v>
      </c>
      <c r="N102" s="12" t="s">
        <v>15</v>
      </c>
      <c r="O102" s="13" t="s">
        <v>14</v>
      </c>
      <c r="P102" s="14" t="s">
        <v>12</v>
      </c>
      <c r="Q102" s="1" t="s">
        <v>10</v>
      </c>
      <c r="R102" s="15" t="s">
        <v>11</v>
      </c>
      <c r="S102" s="14" t="s">
        <v>13</v>
      </c>
      <c r="T102" s="1" t="s">
        <v>16</v>
      </c>
      <c r="U102" s="1" t="s">
        <v>10</v>
      </c>
      <c r="V102" s="1" t="s">
        <v>11</v>
      </c>
    </row>
    <row r="103" spans="1:22">
      <c r="A103" s="40"/>
      <c r="B103" s="27" t="s">
        <v>3</v>
      </c>
      <c r="C103" s="3"/>
      <c r="D103" s="4"/>
      <c r="E103" s="4"/>
      <c r="F103" s="4"/>
      <c r="G103" s="19"/>
      <c r="H103" s="20"/>
      <c r="I103" s="24"/>
      <c r="J103" s="24"/>
      <c r="K103" s="24"/>
      <c r="L103" s="14">
        <f>C103*C101</f>
        <v>0</v>
      </c>
      <c r="M103" s="1">
        <f>E103*C101</f>
        <v>0</v>
      </c>
      <c r="N103" s="1">
        <f>IF(D103,L103/D103,0)</f>
        <v>0</v>
      </c>
      <c r="O103" s="15">
        <f>L103-N103</f>
        <v>0</v>
      </c>
      <c r="P103" s="14">
        <f>IF(AND(F103&lt;&gt;0,C101&lt;&gt;0),O103/M103*F103/IF(G103,G103,1),0)</f>
        <v>0</v>
      </c>
      <c r="Q103" s="1">
        <f>SUM(L103:L107)</f>
        <v>2000</v>
      </c>
      <c r="R103" s="15">
        <f>N103+Q104</f>
        <v>2000</v>
      </c>
      <c r="S103" s="14">
        <f>N103+H103*O103</f>
        <v>0</v>
      </c>
      <c r="T103" s="1">
        <f>IF(AND(F103&lt;&gt;0,C101&lt;&gt;0),(1-H103)*O103/M103*F103/IF(G103,G103,1),0)</f>
        <v>0</v>
      </c>
      <c r="U103" s="1">
        <f>SUM(L103:L107)</f>
        <v>2000</v>
      </c>
      <c r="V103" s="1">
        <f>S103+U104</f>
        <v>2000</v>
      </c>
    </row>
    <row r="104" spans="1:22">
      <c r="A104" s="47"/>
      <c r="B104" s="27">
        <v>1</v>
      </c>
      <c r="C104" s="5">
        <v>1560</v>
      </c>
      <c r="D104" s="1">
        <v>16</v>
      </c>
      <c r="E104" s="1">
        <v>2969.4</v>
      </c>
      <c r="F104" s="1">
        <v>357</v>
      </c>
      <c r="G104" s="5">
        <v>1</v>
      </c>
      <c r="H104" s="21">
        <v>9.4E-2</v>
      </c>
      <c r="I104" s="30" t="s">
        <v>427</v>
      </c>
      <c r="J104" s="30"/>
      <c r="K104" s="30"/>
      <c r="L104" s="14">
        <f>C104</f>
        <v>1560</v>
      </c>
      <c r="M104" s="1">
        <f>E104</f>
        <v>2969.4</v>
      </c>
      <c r="N104" s="1">
        <f>IF(D104,L104/D104,0)</f>
        <v>97.5</v>
      </c>
      <c r="O104" s="15">
        <f>L104-N104</f>
        <v>1462.5</v>
      </c>
      <c r="P104" s="14">
        <f t="shared" ref="P104:P107" si="30">IF(F104,O104/M104*F104/IF(G104,G104,1),0)</f>
        <v>175.83097595473834</v>
      </c>
      <c r="Q104" s="1">
        <f>IF(F104,SUM(L104:L107)-P103*M104/F104*IF(G104,G104,1),0)</f>
        <v>2000</v>
      </c>
      <c r="R104" s="15">
        <f>N104+Q105</f>
        <v>537.5</v>
      </c>
      <c r="S104" s="14">
        <f>N104+H104*O104</f>
        <v>234.97499999999999</v>
      </c>
      <c r="T104" s="1">
        <f>IF(F104,(1-H104)*O104/M104*F104/IF(G104,G104,1),0)</f>
        <v>159.30286421499295</v>
      </c>
      <c r="U104" s="1">
        <f>IF(F104,SUM(L104:L107)-T103*M104/F104*IF(G104,G104,1),0)</f>
        <v>2000</v>
      </c>
      <c r="V104" s="1">
        <f>S104+U105</f>
        <v>674.97500000000002</v>
      </c>
    </row>
    <row r="105" spans="1:22">
      <c r="A105" s="47"/>
      <c r="B105" s="27">
        <v>2</v>
      </c>
      <c r="C105" s="5">
        <v>440</v>
      </c>
      <c r="D105" s="1">
        <v>16</v>
      </c>
      <c r="E105" s="1">
        <v>480</v>
      </c>
      <c r="F105" s="1">
        <v>375</v>
      </c>
      <c r="G105" s="5"/>
      <c r="H105" s="21"/>
      <c r="I105" s="30" t="s">
        <v>428</v>
      </c>
      <c r="J105" s="30"/>
      <c r="K105" s="30"/>
      <c r="L105" s="14">
        <f>C105</f>
        <v>440</v>
      </c>
      <c r="M105" s="1">
        <f>E105</f>
        <v>480</v>
      </c>
      <c r="N105" s="1">
        <f>IF(D105,L105/D105,0)</f>
        <v>27.5</v>
      </c>
      <c r="O105" s="15">
        <f>L105-N105</f>
        <v>412.5</v>
      </c>
      <c r="P105" s="14">
        <f t="shared" si="30"/>
        <v>322.265625</v>
      </c>
      <c r="Q105" s="1">
        <f>SUM(L105:L107)</f>
        <v>440</v>
      </c>
      <c r="R105" s="15">
        <f>N105+Q106</f>
        <v>27.5</v>
      </c>
      <c r="S105" s="14">
        <f>N105+H105*O105</f>
        <v>27.5</v>
      </c>
      <c r="T105" s="1">
        <f t="shared" ref="T105:T107" si="31">IF(F105,(1-H105)*O105/M105*F105/IF(G105,G105,1),0)</f>
        <v>322.265625</v>
      </c>
      <c r="U105" s="1">
        <f>SUM(L105:L107)</f>
        <v>440</v>
      </c>
      <c r="V105" s="1">
        <f>S105+U106</f>
        <v>27.5</v>
      </c>
    </row>
    <row r="106" spans="1:22">
      <c r="A106" s="33" t="s">
        <v>45</v>
      </c>
      <c r="B106" s="27">
        <v>3</v>
      </c>
      <c r="C106" s="5"/>
      <c r="D106" s="1"/>
      <c r="E106" s="1"/>
      <c r="F106" s="1"/>
      <c r="G106" s="5"/>
      <c r="H106" s="21"/>
      <c r="I106" s="30"/>
      <c r="J106" s="30"/>
      <c r="K106" s="30"/>
      <c r="L106" s="14">
        <f>C106</f>
        <v>0</v>
      </c>
      <c r="M106" s="1">
        <f>E106</f>
        <v>0</v>
      </c>
      <c r="N106" s="1">
        <f>IF(D106,L106/D106,0)</f>
        <v>0</v>
      </c>
      <c r="O106" s="15">
        <f>L106-N106</f>
        <v>0</v>
      </c>
      <c r="P106" s="14">
        <f t="shared" si="30"/>
        <v>0</v>
      </c>
      <c r="Q106" s="1">
        <f>SUM(L106:L107)</f>
        <v>0</v>
      </c>
      <c r="R106" s="15">
        <f>N106+Q107</f>
        <v>0</v>
      </c>
      <c r="S106" s="14">
        <f>N106+H106*O106</f>
        <v>0</v>
      </c>
      <c r="T106" s="1">
        <f t="shared" si="31"/>
        <v>0</v>
      </c>
      <c r="U106" s="1">
        <f>SUM(L106:L107)</f>
        <v>0</v>
      </c>
      <c r="V106" s="1">
        <f>S106+U107</f>
        <v>0</v>
      </c>
    </row>
    <row r="107" spans="1:22" ht="15" thickBot="1">
      <c r="A107" s="40"/>
      <c r="B107" s="28">
        <v>4</v>
      </c>
      <c r="C107" s="6"/>
      <c r="D107" s="7"/>
      <c r="E107" s="7"/>
      <c r="F107" s="7"/>
      <c r="G107" s="22"/>
      <c r="H107" s="23"/>
      <c r="I107" s="24"/>
      <c r="J107" s="24"/>
      <c r="K107" s="24"/>
      <c r="L107" s="16">
        <f>C107</f>
        <v>0</v>
      </c>
      <c r="M107" s="17">
        <f>E107</f>
        <v>0</v>
      </c>
      <c r="N107" s="17">
        <f>IF(D107,L107/D107,0)</f>
        <v>0</v>
      </c>
      <c r="O107" s="18">
        <f>L107-N107</f>
        <v>0</v>
      </c>
      <c r="P107" s="14">
        <f t="shared" si="30"/>
        <v>0</v>
      </c>
      <c r="Q107" s="17">
        <f>SUM(L107:L107)</f>
        <v>0</v>
      </c>
      <c r="R107" s="18">
        <f>N107</f>
        <v>0</v>
      </c>
      <c r="S107" s="16">
        <f>N107+H107*O107</f>
        <v>0</v>
      </c>
      <c r="T107" s="17">
        <f t="shared" si="31"/>
        <v>0</v>
      </c>
      <c r="U107" s="17">
        <f>SUM(L107:L107)</f>
        <v>0</v>
      </c>
      <c r="V107" s="17">
        <f>S107</f>
        <v>0</v>
      </c>
    </row>
    <row r="108" spans="1:22" ht="15" thickBot="1">
      <c r="A108" s="47"/>
      <c r="B108" s="26" t="s">
        <v>38</v>
      </c>
      <c r="C108" s="1" t="s">
        <v>4</v>
      </c>
      <c r="D108" s="1" t="s">
        <v>28</v>
      </c>
      <c r="E108" s="1" t="s">
        <v>265</v>
      </c>
      <c r="F108" s="69" t="s">
        <v>40</v>
      </c>
      <c r="G108" s="1" t="s">
        <v>29</v>
      </c>
      <c r="H108" s="1" t="s">
        <v>23</v>
      </c>
      <c r="I108" s="12" t="s">
        <v>24</v>
      </c>
      <c r="J108" s="12" t="s">
        <v>25</v>
      </c>
      <c r="K108" s="11" t="s">
        <v>19</v>
      </c>
      <c r="L108" s="12" t="s">
        <v>26</v>
      </c>
      <c r="M108" s="12" t="s">
        <v>20</v>
      </c>
      <c r="N108" s="12" t="s">
        <v>21</v>
      </c>
      <c r="O108" s="12" t="s">
        <v>22</v>
      </c>
      <c r="P108" s="13" t="s">
        <v>27</v>
      </c>
      <c r="Q108" s="85" t="s">
        <v>42</v>
      </c>
      <c r="R108" s="85"/>
      <c r="S108" s="85"/>
      <c r="T108" s="31" t="s">
        <v>50</v>
      </c>
      <c r="U108" s="35" t="s">
        <v>47</v>
      </c>
      <c r="V108" s="36" t="s">
        <v>264</v>
      </c>
    </row>
    <row r="109" spans="1:22">
      <c r="A109" s="47"/>
      <c r="B109" s="27" t="s">
        <v>30</v>
      </c>
      <c r="C109" s="8">
        <v>95</v>
      </c>
      <c r="D109" s="1">
        <f>IF(C109,C109+Q103,"")</f>
        <v>2095</v>
      </c>
      <c r="E109" s="72">
        <f>IF(C109,C109/D109,"")</f>
        <v>4.5346062052505964E-2</v>
      </c>
      <c r="F109" s="14" t="str">
        <f>IF(AND(C109&lt;&gt;"",N101&lt;&gt;""),(M103/F103*E101+M104/F104*D101)/(C109+Q103),"")</f>
        <v/>
      </c>
      <c r="G109" s="1">
        <f>IF(C109,IF(AND(F103&lt;&gt;0,C101&lt;&gt;0),M104,M104/F104*D101)/(C109+Q104),"")</f>
        <v>1.2665056858065422</v>
      </c>
      <c r="H109" s="1">
        <f>IF(C109,(M105)/(C109+Q105),"")</f>
        <v>0.89719626168224298</v>
      </c>
      <c r="I109" s="1">
        <f>IF(C109,(M106)/(C109+Q106),"")</f>
        <v>0</v>
      </c>
      <c r="J109" s="1">
        <f>IF(C109,(M107)/(C109+Q107),"")</f>
        <v>0</v>
      </c>
      <c r="K109" s="14" t="str">
        <f>IF(AND(C109&lt;&gt;"",N101&lt;&gt;""),9.8*N101*LN((C109+Q103)/(C109+R103)),"")</f>
        <v/>
      </c>
      <c r="L109" s="1">
        <f>IF(C109,9.8*F104*LN((C109+Q104)/(C109+R104)),"")</f>
        <v>4190.0234610845137</v>
      </c>
      <c r="M109" s="1">
        <f>IF(C109,9.8*F105*LN((C109+Q105)/(C109+R105)),"")</f>
        <v>5417.522259648752</v>
      </c>
      <c r="N109" s="1">
        <f>IF(C109,9.8*F106*LN((C109+Q106)/(C109+R106)),"")</f>
        <v>0</v>
      </c>
      <c r="O109" s="1">
        <f>IF(C109,9.8*F107*LN((C109+Q107)/(C109+R107)),"")</f>
        <v>0</v>
      </c>
      <c r="P109" s="15">
        <f>IF(C109,SUM(K109:O109),"")</f>
        <v>9607.5457207332656</v>
      </c>
      <c r="Q109" s="1"/>
      <c r="R109" s="1"/>
      <c r="S109" s="1"/>
      <c r="T109" s="32" t="str">
        <f>IF(OR(F109&lt;1,AND(F109="",G109&lt;1)),"起飞推重比不得小于0，空天飞机除外","")</f>
        <v/>
      </c>
      <c r="U109" s="1"/>
      <c r="V109" s="1"/>
    </row>
    <row r="110" spans="1:22">
      <c r="A110" s="33" t="s">
        <v>47</v>
      </c>
      <c r="B110" s="27" t="s">
        <v>31</v>
      </c>
      <c r="C110" s="9"/>
      <c r="D110" s="1" t="str">
        <f>IF(C110,C110+Q103,"")</f>
        <v/>
      </c>
      <c r="E110" s="72" t="str">
        <f t="shared" ref="E110:E112" si="32">IF(C110,C110/D110,"")</f>
        <v/>
      </c>
      <c r="F110" s="14" t="str">
        <f>IF(AND(C110&lt;&gt;"",N101&lt;&gt;""),(M103/F103*E101+M104/F104*D101)/(C110+Q103),"")</f>
        <v/>
      </c>
      <c r="G110" s="1" t="str">
        <f>IF(C110,IF(AND(F103&lt;&gt;0,C101&lt;&gt;0),M104,M104/F104*D101)/(C110+Q104),"")</f>
        <v/>
      </c>
      <c r="H110" s="1" t="str">
        <f>IF(C110,(M105)/(C110+Q105),"")</f>
        <v/>
      </c>
      <c r="I110" s="1" t="str">
        <f>IF(C110,(M106)/(C110+Q106),"")</f>
        <v/>
      </c>
      <c r="J110" s="1" t="str">
        <f>IF(C110,(M107)/(C110+Q107),"")</f>
        <v/>
      </c>
      <c r="K110" s="14" t="str">
        <f>IF(AND(C110&lt;&gt;"",N101&lt;&gt;""),9.8*N101*LN((C110+Q103)/(C110+R103)),"")</f>
        <v/>
      </c>
      <c r="L110" s="1" t="str">
        <f>IF(C110,9.8*F104*LN((C110+Q104)/(C110+R104)),"")</f>
        <v/>
      </c>
      <c r="M110" s="1" t="str">
        <f>IF(C110,9.8*F105*LN((C110+Q105)/(C110+R105)),"")</f>
        <v/>
      </c>
      <c r="N110" s="1" t="str">
        <f>IF(C110,9.8*F106*LN((C110+Q106)/(C110+R106)),"")</f>
        <v/>
      </c>
      <c r="O110" s="1" t="str">
        <f>IF(C110,9.8*F107*LN((C110+Q107)/(C110+R107)),"")</f>
        <v/>
      </c>
      <c r="P110" s="15" t="str">
        <f>IF(C110,SUM(K110:O110),"")</f>
        <v/>
      </c>
      <c r="Q110" s="1"/>
      <c r="R110" s="1"/>
      <c r="S110" s="1"/>
      <c r="T110" s="32" t="str">
        <f t="shared" ref="T110:T112" si="33">IF(OR(F110&lt;1,AND(F110="",G110&lt;1)),"起飞推重比不得小于0，空天飞机除外","")</f>
        <v/>
      </c>
      <c r="U110" s="1"/>
      <c r="V110" s="1"/>
    </row>
    <row r="111" spans="1:22">
      <c r="A111" s="40"/>
      <c r="B111" s="27" t="s">
        <v>36</v>
      </c>
      <c r="C111" s="9"/>
      <c r="D111" s="1" t="str">
        <f>IF(C111,C111+Q103,"")</f>
        <v/>
      </c>
      <c r="E111" s="72" t="str">
        <f t="shared" si="32"/>
        <v/>
      </c>
      <c r="F111" s="14" t="str">
        <f>IF(AND(C111&lt;&gt;"",N101&lt;&gt;""),(M103/F103*E101+M104/F104*D101)/(C111+Q103),"")</f>
        <v/>
      </c>
      <c r="G111" s="1" t="str">
        <f>IF(C111,IF(AND(F103&lt;&gt;0,C101&lt;&gt;0),M104,M104/F104*D101)/(C111+Q104),"")</f>
        <v/>
      </c>
      <c r="H111" s="1" t="str">
        <f>IF(C111,(M105)/(C111+Q105),"")</f>
        <v/>
      </c>
      <c r="I111" s="1" t="str">
        <f>IF(C111,(M106)/(C111+Q106),"")</f>
        <v/>
      </c>
      <c r="J111" s="1" t="str">
        <f>IF(C111,(M107)/(C111+Q107),"")</f>
        <v/>
      </c>
      <c r="K111" s="14" t="str">
        <f>IF(AND(C111&lt;&gt;"",N101&lt;&gt;""),9.8*N101*LN((C111+Q103)/(C111+R103)),"")</f>
        <v/>
      </c>
      <c r="L111" s="1" t="str">
        <f>IF(C111,9.8*F104*LN((C111+Q104)/(C111+R104)),"")</f>
        <v/>
      </c>
      <c r="M111" s="1" t="str">
        <f>IF(C111,9.8*F105*LN((C111+Q105)/(C111+R105)),"")</f>
        <v/>
      </c>
      <c r="N111" s="1" t="str">
        <f>IF(C111,9.8*F106*LN((C111+Q106)/(C111+R106)),"")</f>
        <v/>
      </c>
      <c r="O111" s="1" t="str">
        <f>IF(C111,9.8*F107*LN((C111+Q107)/(C111+R107)),"")</f>
        <v/>
      </c>
      <c r="P111" s="15" t="str">
        <f>IF(C111,SUM(K111:O111),"")</f>
        <v/>
      </c>
      <c r="Q111" s="1"/>
      <c r="R111" s="1"/>
      <c r="S111" s="1"/>
      <c r="T111" s="32" t="str">
        <f t="shared" si="33"/>
        <v/>
      </c>
      <c r="U111" s="1"/>
      <c r="V111" s="1"/>
    </row>
    <row r="112" spans="1:22" ht="15" thickBot="1">
      <c r="A112" s="47"/>
      <c r="B112" s="28" t="s">
        <v>5</v>
      </c>
      <c r="C112" s="10"/>
      <c r="D112" s="1" t="str">
        <f>IF(C112,C112+Q103,"")</f>
        <v/>
      </c>
      <c r="E112" s="72" t="str">
        <f t="shared" si="32"/>
        <v/>
      </c>
      <c r="F112" s="14" t="str">
        <f>IF(AND(C112&lt;&gt;"",N101&lt;&gt;""),(M103/F103*E101+M104/F104*D101)/(C112+Q103),"")</f>
        <v/>
      </c>
      <c r="G112" s="1" t="str">
        <f>IF(C112,IF(AND(F103&lt;&gt;0,C101&lt;&gt;0),M104,M104/F104*D101)/(C112+Q104),"")</f>
        <v/>
      </c>
      <c r="H112" s="1" t="str">
        <f>IF(C112,(M105)/(C112+Q105),"")</f>
        <v/>
      </c>
      <c r="I112" s="1" t="str">
        <f>IF(C112,(M106)/(C112+Q106),"")</f>
        <v/>
      </c>
      <c r="J112" s="1" t="str">
        <f>IF(C112,(M107)/(C112+Q107),"")</f>
        <v/>
      </c>
      <c r="K112" s="14" t="str">
        <f>IF(AND(C112&lt;&gt;"",N101&lt;&gt;""),9.8*N101*LN((C112+Q103)/(C112+R103)),"")</f>
        <v/>
      </c>
      <c r="L112" s="1" t="str">
        <f>IF(C112,9.8*F104*LN((C112+Q104)/(C112+R104)),"")</f>
        <v/>
      </c>
      <c r="M112" s="1" t="str">
        <f>IF(C112,9.8*F105*LN((C112+Q105)/(C112+R105)),"")</f>
        <v/>
      </c>
      <c r="N112" s="1" t="str">
        <f>IF(C112,9.8*F106*LN((C112+Q106)/(C112+R106)),"")</f>
        <v/>
      </c>
      <c r="O112" s="1" t="str">
        <f>IF(C112,9.8*F107*LN((C112+Q107)/(C112+R107)),"")</f>
        <v/>
      </c>
      <c r="P112" s="15" t="str">
        <f>IF(C112,SUM(K112:O112),"")</f>
        <v/>
      </c>
      <c r="Q112" s="17"/>
      <c r="R112" s="17"/>
      <c r="S112" s="17"/>
      <c r="T112" s="32" t="str">
        <f t="shared" si="33"/>
        <v/>
      </c>
      <c r="U112" s="1"/>
      <c r="V112" s="1"/>
    </row>
    <row r="113" spans="1:22" ht="15" thickBot="1">
      <c r="A113" s="33" t="s">
        <v>45</v>
      </c>
      <c r="B113" s="26" t="s">
        <v>37</v>
      </c>
      <c r="C113" s="1" t="s">
        <v>9</v>
      </c>
      <c r="D113" s="12" t="s">
        <v>28</v>
      </c>
      <c r="E113" s="12" t="s">
        <v>266</v>
      </c>
      <c r="F113" s="11" t="s">
        <v>40</v>
      </c>
      <c r="G113" s="12" t="s">
        <v>29</v>
      </c>
      <c r="H113" s="12" t="s">
        <v>23</v>
      </c>
      <c r="I113" s="12" t="s">
        <v>24</v>
      </c>
      <c r="J113" s="12" t="s">
        <v>25</v>
      </c>
      <c r="K113" s="11" t="s">
        <v>19</v>
      </c>
      <c r="L113" s="12" t="s">
        <v>26</v>
      </c>
      <c r="M113" s="12" t="s">
        <v>20</v>
      </c>
      <c r="N113" s="12" t="s">
        <v>21</v>
      </c>
      <c r="O113" s="12" t="s">
        <v>22</v>
      </c>
      <c r="P113" s="13" t="s">
        <v>27</v>
      </c>
      <c r="Q113" s="85" t="s">
        <v>42</v>
      </c>
      <c r="R113" s="85"/>
      <c r="S113" s="85"/>
      <c r="T113" s="12" t="s">
        <v>51</v>
      </c>
      <c r="U113" s="37" t="s">
        <v>45</v>
      </c>
      <c r="V113" s="38" t="s">
        <v>48</v>
      </c>
    </row>
    <row r="114" spans="1:22">
      <c r="A114" s="40"/>
      <c r="B114" s="27" t="s">
        <v>30</v>
      </c>
      <c r="C114" s="8">
        <v>72</v>
      </c>
      <c r="D114" s="1">
        <f>IF(C114,C114+Q103,"")</f>
        <v>2072</v>
      </c>
      <c r="E114" s="72">
        <f>IF(C114,C114/D114,"")</f>
        <v>3.4749034749034749E-2</v>
      </c>
      <c r="F114" s="14" t="str">
        <f>IF(AND(C114&lt;&gt;"",N101&lt;&gt;""),(M103/F103*E101+M104/F104*D101)/(C114+U103),"")</f>
        <v/>
      </c>
      <c r="G114" s="1">
        <f>IF(C114,IF(AND(F103&lt;&gt;0,C101&lt;&gt;0),M104,M104/F104*D101)/(C114+U104),"")</f>
        <v>1.2805643879173292</v>
      </c>
      <c r="H114" s="1">
        <f>IF(C114,(M105)/(C114+U105),"")</f>
        <v>0.9375</v>
      </c>
      <c r="I114" s="1">
        <f>IF(C114,(M106)/(C114+U106),"")</f>
        <v>0</v>
      </c>
      <c r="J114" s="1">
        <f>IF(C114,(M107)/(C114+U107),"")</f>
        <v>0</v>
      </c>
      <c r="K114" s="14" t="str">
        <f>IF(AND(C114&lt;&gt;"",N101&lt;&gt;""),9.8*N101*LN((C114+U103)/(C114+V103)),"")</f>
        <v/>
      </c>
      <c r="L114" s="1">
        <f>IF(C114,9.8*F104*LN((C114+U104)/(C114+V104)),"")</f>
        <v>3569.4042679901695</v>
      </c>
      <c r="M114" s="1">
        <f>IF(C114,9.8*F105*LN((C114+U105)/(C114+V105)),"")</f>
        <v>6020.2636547154816</v>
      </c>
      <c r="N114" s="1">
        <f>IF(C114,9.8*F106*LN((C114+U106)/(C114+V106)),"")</f>
        <v>0</v>
      </c>
      <c r="O114" s="1">
        <f>IF(C114,9.8*F107*LN((C114+U107)/(C114+V107)),"")</f>
        <v>0</v>
      </c>
      <c r="P114" s="15">
        <f>IF(C114,SUM(K114:O114),"")</f>
        <v>9589.667922705652</v>
      </c>
      <c r="Q114" s="1" t="s">
        <v>431</v>
      </c>
      <c r="R114" s="1"/>
      <c r="S114" s="1"/>
      <c r="T114" s="32" t="str">
        <f>IF(OR(F114&lt;1,AND(F114="",G114&lt;1)),"起飞推重比不得小于0，空天飞机除外","")</f>
        <v/>
      </c>
      <c r="U114" s="1"/>
      <c r="V114" s="1"/>
    </row>
    <row r="115" spans="1:22">
      <c r="A115" s="47"/>
      <c r="B115" s="27" t="s">
        <v>31</v>
      </c>
      <c r="C115" s="9"/>
      <c r="D115" s="1" t="str">
        <f>IF(C115,C115+Q103,"")</f>
        <v/>
      </c>
      <c r="E115" s="72" t="str">
        <f t="shared" ref="E115:E117" si="34">IF(C115,C115/D115,"")</f>
        <v/>
      </c>
      <c r="F115" s="14" t="str">
        <f>IF(AND(C115&lt;&gt;"",N101&lt;&gt;""),(M103/F103*E101+M104/F104*D101)/(C115+U103),"")</f>
        <v/>
      </c>
      <c r="G115" s="1" t="str">
        <f>IF(C115,IF(AND(F103&lt;&gt;0,C101&lt;&gt;0),M104,M104/F104*D101)/(C115+U104),"")</f>
        <v/>
      </c>
      <c r="H115" s="1" t="str">
        <f>IF(C115,(M105)/(C115+U105),"")</f>
        <v/>
      </c>
      <c r="I115" s="1" t="str">
        <f>IF(C115,(M106)/(C115+U106),"")</f>
        <v/>
      </c>
      <c r="J115" s="1" t="str">
        <f>IF(C115,(M107)/(C115+U107),"")</f>
        <v/>
      </c>
      <c r="K115" s="14" t="str">
        <f>IF(AND(C115&lt;&gt;"",N101&lt;&gt;""),9.8*N101*LN((C115+U103)/(C115+V103)),"")</f>
        <v/>
      </c>
      <c r="L115" s="1" t="str">
        <f>IF(C115,9.8*F104*LN((C115+U104)/(C115+V104)),"")</f>
        <v/>
      </c>
      <c r="M115" s="1" t="str">
        <f>IF(C115,9.8*F105*LN((C115+U105)/(C115+V105)),"")</f>
        <v/>
      </c>
      <c r="N115" s="1" t="str">
        <f>IF(C115,9.8*F106*LN((C115+U106)/(C115+V106)),"")</f>
        <v/>
      </c>
      <c r="O115" s="1" t="str">
        <f>IF(C115,9.8*F107*LN((C115+U107)/(C115+V107)),"")</f>
        <v/>
      </c>
      <c r="P115" s="15" t="str">
        <f>IF(C115,SUM(K115:O115),"")</f>
        <v/>
      </c>
      <c r="Q115" s="1"/>
      <c r="R115" s="1"/>
      <c r="S115" s="1"/>
      <c r="T115" s="32" t="str">
        <f t="shared" ref="T115:T117" si="35">IF(OR(F115&lt;1,AND(F115="",G115&lt;1)),"起飞推重比不得小于0，空天飞机除外","")</f>
        <v/>
      </c>
      <c r="U115" s="1"/>
      <c r="V115" s="1"/>
    </row>
    <row r="116" spans="1:22">
      <c r="A116" s="47"/>
      <c r="B116" s="27" t="s">
        <v>32</v>
      </c>
      <c r="C116" s="9"/>
      <c r="D116" s="1" t="str">
        <f>IF(C116,C116+Q103,"")</f>
        <v/>
      </c>
      <c r="E116" s="72" t="str">
        <f t="shared" si="34"/>
        <v/>
      </c>
      <c r="F116" s="14" t="str">
        <f>IF(AND(C116&lt;&gt;"",N101&lt;&gt;""),(M103/F103*E101+M104/F104*D101)/(C116+U103),"")</f>
        <v/>
      </c>
      <c r="G116" s="1" t="str">
        <f>IF(C116,IF(AND(F103&lt;&gt;0,C101&lt;&gt;0),M104,M104/F104*D101)/(C116+U104),"")</f>
        <v/>
      </c>
      <c r="H116" s="1" t="str">
        <f>IF(C116,(M105)/(C116+U105),"")</f>
        <v/>
      </c>
      <c r="I116" s="1" t="str">
        <f>IF(C116,(M106)/(C116+U106),"")</f>
        <v/>
      </c>
      <c r="J116" s="1" t="str">
        <f>IF(C116,(M107)/(C116+U107),"")</f>
        <v/>
      </c>
      <c r="K116" s="14" t="str">
        <f>IF(AND(C116&lt;&gt;"",N101&lt;&gt;""),9.8*N101*LN((C116+U103)/(C116+V103)),"")</f>
        <v/>
      </c>
      <c r="L116" s="1" t="str">
        <f>IF(C116,9.8*F104*LN((C116+U104)/(C116+V104)),"")</f>
        <v/>
      </c>
      <c r="M116" s="1" t="str">
        <f>IF(C116,9.8*F105*LN((C116+U105)/(C116+V105)),"")</f>
        <v/>
      </c>
      <c r="N116" s="1" t="str">
        <f>IF(C116,9.8*F106*LN((C116+U106)/(C116+V106)),"")</f>
        <v/>
      </c>
      <c r="O116" s="1" t="str">
        <f>IF(C116,9.8*F107*LN((C116+U107)/(C116+V107)),"")</f>
        <v/>
      </c>
      <c r="P116" s="15" t="str">
        <f>IF(C116,SUM(K116:O116),"")</f>
        <v/>
      </c>
      <c r="Q116" s="1"/>
      <c r="R116" s="1"/>
      <c r="S116" s="1"/>
      <c r="T116" s="32" t="str">
        <f t="shared" si="35"/>
        <v/>
      </c>
      <c r="U116" s="1"/>
      <c r="V116" s="1"/>
    </row>
    <row r="117" spans="1:22" ht="15" thickBot="1">
      <c r="A117" s="48" t="s">
        <v>46</v>
      </c>
      <c r="B117" s="49" t="s">
        <v>33</v>
      </c>
      <c r="C117" s="50"/>
      <c r="D117" s="25" t="str">
        <f>IF(C117,C117+Q103,"")</f>
        <v/>
      </c>
      <c r="E117" s="73" t="str">
        <f t="shared" si="34"/>
        <v/>
      </c>
      <c r="F117" s="70" t="str">
        <f>IF(AND(C117&lt;&gt;"",N101&lt;&gt;""),(M103/F103*E101+M104/F104*D101)/(C117+U103),"")</f>
        <v/>
      </c>
      <c r="G117" s="25" t="str">
        <f>IF(C117,IF(AND(F103&lt;&gt;0,C101&lt;&gt;0),M104,M104/F104*D101)/(C117+U104),"")</f>
        <v/>
      </c>
      <c r="H117" s="25" t="str">
        <f>IF(C117,(M105)/(C117+U105),"")</f>
        <v/>
      </c>
      <c r="I117" s="25" t="str">
        <f>IF(C117,(M106)/(C117+U106),"")</f>
        <v/>
      </c>
      <c r="J117" s="25" t="str">
        <f>IF(C117,(M107)/(C117+U107),"")</f>
        <v/>
      </c>
      <c r="K117" s="70" t="str">
        <f>IF(AND(C117&lt;&gt;"",N101&lt;&gt;""),9.8*N101*LN((C117+U103)/(C117+V103)),"")</f>
        <v/>
      </c>
      <c r="L117" s="25" t="str">
        <f>IF(C117,9.8*F104*LN((C117+U104)/(C117+V104)),"")</f>
        <v/>
      </c>
      <c r="M117" s="25" t="str">
        <f>IF(C117,9.8*F105*LN((C117+U105)/(C117+V105)),"")</f>
        <v/>
      </c>
      <c r="N117" s="25" t="str">
        <f>IF(C117,9.8*F106*LN((C117+U106)/(C117+V106)),"")</f>
        <v/>
      </c>
      <c r="O117" s="25" t="str">
        <f>IF(C117,9.8*F107*LN((C117+U107)/(C117+V107)),"")</f>
        <v/>
      </c>
      <c r="P117" s="71" t="str">
        <f>IF(C117,SUM(K117:O117),"")</f>
        <v/>
      </c>
      <c r="Q117" s="25"/>
      <c r="R117" s="25"/>
      <c r="S117" s="25"/>
      <c r="T117" s="51" t="str">
        <f t="shared" si="35"/>
        <v/>
      </c>
      <c r="U117" s="25"/>
      <c r="V117" s="25"/>
    </row>
    <row r="118" spans="1:22" ht="15" thickBot="1"/>
    <row r="119" spans="1:22" ht="15" thickBot="1">
      <c r="A119" s="52" t="s">
        <v>407</v>
      </c>
      <c r="B119" s="52"/>
      <c r="C119" s="29" t="s">
        <v>0</v>
      </c>
      <c r="D119" s="90" t="s">
        <v>41</v>
      </c>
      <c r="E119" s="90"/>
      <c r="F119" s="43"/>
      <c r="G119" s="43"/>
      <c r="H119" s="43"/>
      <c r="I119" s="86" t="s">
        <v>42</v>
      </c>
      <c r="J119" s="86"/>
      <c r="K119" s="86"/>
      <c r="L119" s="54" t="s">
        <v>70</v>
      </c>
      <c r="M119" s="86" t="s">
        <v>71</v>
      </c>
      <c r="N119" s="86"/>
      <c r="O119" s="87"/>
      <c r="P119" s="29" t="s">
        <v>49</v>
      </c>
      <c r="Q119" s="34" t="str">
        <f>IF(OR(P123&lt;P122,T123&lt;T122),"芯级燃烧时间不得小于助推燃烧时间！","")</f>
        <v/>
      </c>
      <c r="R119" s="44"/>
      <c r="S119" s="45"/>
      <c r="T119" s="29"/>
      <c r="U119" s="46" t="s">
        <v>45</v>
      </c>
      <c r="V119" s="46" t="s">
        <v>48</v>
      </c>
    </row>
    <row r="120" spans="1:22" ht="15" thickBot="1">
      <c r="A120" s="40" t="s">
        <v>408</v>
      </c>
      <c r="B120" s="39"/>
      <c r="C120" s="2">
        <v>0</v>
      </c>
      <c r="D120" s="2">
        <v>302</v>
      </c>
      <c r="E120" s="2">
        <v>0</v>
      </c>
      <c r="F120" s="41"/>
      <c r="G120" s="42"/>
      <c r="H120" s="42"/>
      <c r="I120" s="24" t="s">
        <v>432</v>
      </c>
      <c r="J120" s="24"/>
      <c r="K120" s="24"/>
      <c r="L120" s="55">
        <f>IFERROR(IF(AND(F122&lt;&gt;0,C120&lt;&gt;0),M122/F122*E120+M123/F123*D120,M123/F123*D120),0)</f>
        <v>510.18343195266277</v>
      </c>
      <c r="M120" s="53" t="s">
        <v>45</v>
      </c>
      <c r="N120" s="17" t="str">
        <f>IF(AND(F122&lt;&gt;0,C120&lt;&gt;0),(M122+M123)/(M122/F122+M123/F123),"")</f>
        <v/>
      </c>
      <c r="O120" s="56" t="s">
        <v>46</v>
      </c>
      <c r="P120" s="89" t="s">
        <v>17</v>
      </c>
      <c r="Q120" s="89"/>
      <c r="R120" s="91"/>
      <c r="S120" s="88" t="s">
        <v>18</v>
      </c>
      <c r="T120" s="89"/>
      <c r="U120" s="89"/>
      <c r="V120" s="89"/>
    </row>
    <row r="121" spans="1:22" ht="15" thickBot="1">
      <c r="A121" s="33" t="s">
        <v>45</v>
      </c>
      <c r="B121" s="26" t="s">
        <v>39</v>
      </c>
      <c r="C121" s="1" t="s">
        <v>60</v>
      </c>
      <c r="D121" s="1" t="s">
        <v>61</v>
      </c>
      <c r="E121" s="1" t="s">
        <v>62</v>
      </c>
      <c r="F121" s="1" t="s">
        <v>63</v>
      </c>
      <c r="G121" s="1" t="s">
        <v>64</v>
      </c>
      <c r="H121" s="1" t="s">
        <v>65</v>
      </c>
      <c r="I121" s="60" t="str">
        <f>HYPERLINK(":\Reference\煤油火箭.jpg","煤油火箭.jpg")</f>
        <v>煤油火箭.jpg</v>
      </c>
      <c r="J121" s="24"/>
      <c r="K121" s="24"/>
      <c r="L121" s="11" t="s">
        <v>6</v>
      </c>
      <c r="M121" s="12" t="s">
        <v>69</v>
      </c>
      <c r="N121" s="12" t="s">
        <v>15</v>
      </c>
      <c r="O121" s="13" t="s">
        <v>14</v>
      </c>
      <c r="P121" s="14" t="s">
        <v>12</v>
      </c>
      <c r="Q121" s="1" t="s">
        <v>10</v>
      </c>
      <c r="R121" s="15" t="s">
        <v>11</v>
      </c>
      <c r="S121" s="14" t="s">
        <v>13</v>
      </c>
      <c r="T121" s="1" t="s">
        <v>16</v>
      </c>
      <c r="U121" s="1" t="s">
        <v>10</v>
      </c>
      <c r="V121" s="1" t="s">
        <v>11</v>
      </c>
    </row>
    <row r="122" spans="1:22">
      <c r="A122" s="40"/>
      <c r="B122" s="27" t="s">
        <v>3</v>
      </c>
      <c r="C122" s="3"/>
      <c r="D122" s="4"/>
      <c r="E122" s="4"/>
      <c r="F122" s="4"/>
      <c r="G122" s="19"/>
      <c r="H122" s="20"/>
      <c r="I122" s="60" t="str">
        <f>HYPERLINK(":\Reference\煤油火箭详细信息.jpg","煤油火箭详细信息.jpg")</f>
        <v>煤油火箭详细信息.jpg</v>
      </c>
      <c r="J122" s="24"/>
      <c r="K122" s="24"/>
      <c r="L122" s="14">
        <f>C122*C120</f>
        <v>0</v>
      </c>
      <c r="M122" s="1">
        <f>E122*C120</f>
        <v>0</v>
      </c>
      <c r="N122" s="1">
        <f>IF(D122,L122/D122,0)</f>
        <v>0</v>
      </c>
      <c r="O122" s="15">
        <f>L122-N122</f>
        <v>0</v>
      </c>
      <c r="P122" s="14">
        <f>IF(AND(F122&lt;&gt;0,C120&lt;&gt;0),O122/M122*F122/IF(G122,G122,1),0)</f>
        <v>0</v>
      </c>
      <c r="Q122" s="1">
        <f>SUM(L122:L126)</f>
        <v>423</v>
      </c>
      <c r="R122" s="15">
        <f>N122+Q123</f>
        <v>423</v>
      </c>
      <c r="S122" s="14">
        <f>N122+H122*O122</f>
        <v>0</v>
      </c>
      <c r="T122" s="1">
        <f>IF(AND(F122&lt;&gt;0,C120&lt;&gt;0),(1-H122)*O122/M122*F122/IF(G122,G122,1),0)</f>
        <v>0</v>
      </c>
      <c r="U122" s="1">
        <f>SUM(L122:L126)</f>
        <v>423</v>
      </c>
      <c r="V122" s="1">
        <f>S122+U123</f>
        <v>423</v>
      </c>
    </row>
    <row r="123" spans="1:22">
      <c r="A123" s="47"/>
      <c r="B123" s="27">
        <v>1</v>
      </c>
      <c r="C123" s="5">
        <v>364</v>
      </c>
      <c r="D123" s="1">
        <v>13</v>
      </c>
      <c r="E123" s="1">
        <v>571</v>
      </c>
      <c r="F123" s="1">
        <v>338</v>
      </c>
      <c r="G123" s="5">
        <v>1</v>
      </c>
      <c r="H123" s="21"/>
      <c r="I123" s="30" t="s">
        <v>433</v>
      </c>
      <c r="J123" s="30"/>
      <c r="K123" s="30"/>
      <c r="L123" s="14">
        <f>C123</f>
        <v>364</v>
      </c>
      <c r="M123" s="1">
        <f>E123</f>
        <v>571</v>
      </c>
      <c r="N123" s="1">
        <f>IF(D123,L123/D123,0)</f>
        <v>28</v>
      </c>
      <c r="O123" s="15">
        <f>L123-N123</f>
        <v>336</v>
      </c>
      <c r="P123" s="14">
        <f t="shared" ref="P123:P126" si="36">IF(F123,O123/M123*F123/IF(G123,G123,1),0)</f>
        <v>198.89316987740807</v>
      </c>
      <c r="Q123" s="1">
        <f>IF(F123,SUM(L123:L126)-P122*M123/F123*IF(G123,G123,1),0)</f>
        <v>423</v>
      </c>
      <c r="R123" s="15">
        <f>N123+Q124</f>
        <v>87</v>
      </c>
      <c r="S123" s="14">
        <f>N123+H123*O123</f>
        <v>28</v>
      </c>
      <c r="T123" s="1">
        <f>IF(F123,(1-H123)*O123/M123*F123/IF(G123,G123,1),0)</f>
        <v>198.89316987740807</v>
      </c>
      <c r="U123" s="1">
        <f>IF(F123,SUM(L123:L126)-T122*M123/F123*IF(G123,G123,1),0)</f>
        <v>423</v>
      </c>
      <c r="V123" s="1">
        <f>S123+U124</f>
        <v>87</v>
      </c>
    </row>
    <row r="124" spans="1:22">
      <c r="A124" s="47"/>
      <c r="B124" s="27">
        <v>2</v>
      </c>
      <c r="C124" s="5">
        <v>59</v>
      </c>
      <c r="D124" s="1">
        <v>11</v>
      </c>
      <c r="E124" s="1">
        <v>37</v>
      </c>
      <c r="F124" s="1">
        <v>342</v>
      </c>
      <c r="G124" s="5"/>
      <c r="H124" s="21"/>
      <c r="I124" s="30" t="s">
        <v>434</v>
      </c>
      <c r="J124" s="30"/>
      <c r="K124" s="30"/>
      <c r="L124" s="14">
        <f>C124</f>
        <v>59</v>
      </c>
      <c r="M124" s="1">
        <f>E124</f>
        <v>37</v>
      </c>
      <c r="N124" s="1">
        <f>IF(D124,L124/D124,0)</f>
        <v>5.3636363636363633</v>
      </c>
      <c r="O124" s="15">
        <f>L124-N124</f>
        <v>53.63636363636364</v>
      </c>
      <c r="P124" s="14">
        <f t="shared" si="36"/>
        <v>495.77395577395583</v>
      </c>
      <c r="Q124" s="1">
        <f>SUM(L124:L126)</f>
        <v>59</v>
      </c>
      <c r="R124" s="15">
        <f>N124+Q125</f>
        <v>5.3636363636363633</v>
      </c>
      <c r="S124" s="14">
        <f>N124+H124*O124</f>
        <v>5.3636363636363633</v>
      </c>
      <c r="T124" s="1">
        <f t="shared" ref="T124:T126" si="37">IF(F124,(1-H124)*O124/M124*F124/IF(G124,G124,1),0)</f>
        <v>495.77395577395583</v>
      </c>
      <c r="U124" s="1">
        <f>SUM(L124:L126)</f>
        <v>59</v>
      </c>
      <c r="V124" s="1">
        <f>S124+U125</f>
        <v>5.3636363636363633</v>
      </c>
    </row>
    <row r="125" spans="1:22">
      <c r="A125" s="33" t="s">
        <v>45</v>
      </c>
      <c r="B125" s="27">
        <v>3</v>
      </c>
      <c r="C125" s="5"/>
      <c r="D125" s="1"/>
      <c r="E125" s="1"/>
      <c r="F125" s="1"/>
      <c r="G125" s="5"/>
      <c r="H125" s="21"/>
      <c r="I125" s="30"/>
      <c r="J125" s="30"/>
      <c r="K125" s="30"/>
      <c r="L125" s="14">
        <f>C125</f>
        <v>0</v>
      </c>
      <c r="M125" s="1">
        <f>E125</f>
        <v>0</v>
      </c>
      <c r="N125" s="1">
        <f>IF(D125,L125/D125,0)</f>
        <v>0</v>
      </c>
      <c r="O125" s="15">
        <f>L125-N125</f>
        <v>0</v>
      </c>
      <c r="P125" s="14">
        <f t="shared" si="36"/>
        <v>0</v>
      </c>
      <c r="Q125" s="1">
        <f>SUM(L125:L126)</f>
        <v>0</v>
      </c>
      <c r="R125" s="15">
        <f>N125+Q126</f>
        <v>0</v>
      </c>
      <c r="S125" s="14">
        <f>N125+H125*O125</f>
        <v>0</v>
      </c>
      <c r="T125" s="1">
        <f t="shared" si="37"/>
        <v>0</v>
      </c>
      <c r="U125" s="1">
        <f>SUM(L125:L126)</f>
        <v>0</v>
      </c>
      <c r="V125" s="1">
        <f>S125+U126</f>
        <v>0</v>
      </c>
    </row>
    <row r="126" spans="1:22" ht="15" thickBot="1">
      <c r="A126" s="40"/>
      <c r="B126" s="28">
        <v>4</v>
      </c>
      <c r="C126" s="6"/>
      <c r="D126" s="7"/>
      <c r="E126" s="7"/>
      <c r="F126" s="7"/>
      <c r="G126" s="22"/>
      <c r="H126" s="23"/>
      <c r="I126" s="24"/>
      <c r="J126" s="24"/>
      <c r="K126" s="24"/>
      <c r="L126" s="16">
        <f>C126</f>
        <v>0</v>
      </c>
      <c r="M126" s="17">
        <f>E126</f>
        <v>0</v>
      </c>
      <c r="N126" s="17">
        <f>IF(D126,L126/D126,0)</f>
        <v>0</v>
      </c>
      <c r="O126" s="18">
        <f>L126-N126</f>
        <v>0</v>
      </c>
      <c r="P126" s="14">
        <f t="shared" si="36"/>
        <v>0</v>
      </c>
      <c r="Q126" s="17">
        <f>SUM(L126:L126)</f>
        <v>0</v>
      </c>
      <c r="R126" s="18">
        <f>N126</f>
        <v>0</v>
      </c>
      <c r="S126" s="16">
        <f>N126+H126*O126</f>
        <v>0</v>
      </c>
      <c r="T126" s="17">
        <f t="shared" si="37"/>
        <v>0</v>
      </c>
      <c r="U126" s="17">
        <f>SUM(L126:L126)</f>
        <v>0</v>
      </c>
      <c r="V126" s="17">
        <f>S126</f>
        <v>0</v>
      </c>
    </row>
    <row r="127" spans="1:22" ht="15" thickBot="1">
      <c r="A127" s="47"/>
      <c r="B127" s="26" t="s">
        <v>38</v>
      </c>
      <c r="C127" s="1" t="s">
        <v>4</v>
      </c>
      <c r="D127" s="1" t="s">
        <v>28</v>
      </c>
      <c r="E127" s="1" t="s">
        <v>265</v>
      </c>
      <c r="F127" s="69" t="s">
        <v>40</v>
      </c>
      <c r="G127" s="1" t="s">
        <v>29</v>
      </c>
      <c r="H127" s="1" t="s">
        <v>23</v>
      </c>
      <c r="I127" s="12" t="s">
        <v>24</v>
      </c>
      <c r="J127" s="12" t="s">
        <v>25</v>
      </c>
      <c r="K127" s="11" t="s">
        <v>19</v>
      </c>
      <c r="L127" s="12" t="s">
        <v>26</v>
      </c>
      <c r="M127" s="12" t="s">
        <v>20</v>
      </c>
      <c r="N127" s="12" t="s">
        <v>21</v>
      </c>
      <c r="O127" s="12" t="s">
        <v>22</v>
      </c>
      <c r="P127" s="13" t="s">
        <v>27</v>
      </c>
      <c r="Q127" s="85" t="s">
        <v>42</v>
      </c>
      <c r="R127" s="85"/>
      <c r="S127" s="85"/>
      <c r="T127" s="31" t="s">
        <v>50</v>
      </c>
      <c r="U127" s="35" t="s">
        <v>47</v>
      </c>
      <c r="V127" s="36" t="s">
        <v>264</v>
      </c>
    </row>
    <row r="128" spans="1:22">
      <c r="A128" s="47"/>
      <c r="B128" s="27" t="s">
        <v>30</v>
      </c>
      <c r="C128" s="8">
        <v>10</v>
      </c>
      <c r="D128" s="1">
        <f>IF(C128,C128+Q122,"")</f>
        <v>433</v>
      </c>
      <c r="E128" s="72">
        <f>IF(C128,C128/D128,"")</f>
        <v>2.3094688221709007E-2</v>
      </c>
      <c r="F128" s="14" t="str">
        <f>IF(AND(C128&lt;&gt;"",N120&lt;&gt;""),(M122/F122*E120+M123/F123*D120)/(C128+Q122),"")</f>
        <v/>
      </c>
      <c r="G128" s="1">
        <f>IF(C128,IF(AND(F122&lt;&gt;0,C120&lt;&gt;0),M123,M123/F123*D120)/(C128+Q123),"")</f>
        <v>1.178252729682824</v>
      </c>
      <c r="H128" s="1">
        <f>IF(C128,(M124)/(C128+Q124),"")</f>
        <v>0.53623188405797106</v>
      </c>
      <c r="I128" s="1">
        <f>IF(C128,(M125)/(C128+Q125),"")</f>
        <v>0</v>
      </c>
      <c r="J128" s="1">
        <f>IF(C128,(M126)/(C128+Q126),"")</f>
        <v>0</v>
      </c>
      <c r="K128" s="14" t="str">
        <f>IF(AND(C128&lt;&gt;"",N120&lt;&gt;""),9.8*N120*LN((C128+Q122)/(C128+R122)),"")</f>
        <v/>
      </c>
      <c r="L128" s="1">
        <f>IF(C128,9.8*F123*LN((C128+Q123)/(C128+R123)),"")</f>
        <v>4955.4390050408429</v>
      </c>
      <c r="M128" s="1">
        <f>IF(C128,9.8*F124*LN((C128+Q124)/(C128+R124)),"")</f>
        <v>5034.4486241830218</v>
      </c>
      <c r="N128" s="1">
        <f>IF(C128,9.8*F125*LN((C128+Q125)/(C128+R125)),"")</f>
        <v>0</v>
      </c>
      <c r="O128" s="1">
        <f>IF(C128,9.8*F126*LN((C128+Q126)/(C128+R126)),"")</f>
        <v>0</v>
      </c>
      <c r="P128" s="15">
        <f>IF(C128,SUM(K128:O128),"")</f>
        <v>9989.8876292238638</v>
      </c>
      <c r="Q128" s="1"/>
      <c r="R128" s="1"/>
      <c r="S128" s="1"/>
      <c r="T128" s="32" t="str">
        <f>IF(OR(F128&lt;1,AND(F128="",G128&lt;1)),"起飞推重比不得小于0，空天飞机除外","")</f>
        <v/>
      </c>
      <c r="U128" s="1"/>
      <c r="V128" s="1"/>
    </row>
    <row r="129" spans="1:22">
      <c r="A129" s="33" t="s">
        <v>47</v>
      </c>
      <c r="B129" s="27" t="s">
        <v>31</v>
      </c>
      <c r="C129" s="9"/>
      <c r="D129" s="1" t="str">
        <f>IF(C129,C129+Q122,"")</f>
        <v/>
      </c>
      <c r="E129" s="72" t="str">
        <f t="shared" ref="E129:E131" si="38">IF(C129,C129/D129,"")</f>
        <v/>
      </c>
      <c r="F129" s="14" t="str">
        <f>IF(AND(C129&lt;&gt;"",N120&lt;&gt;""),(M122/F122*E120+M123/F123*D120)/(C129+Q122),"")</f>
        <v/>
      </c>
      <c r="G129" s="1" t="str">
        <f>IF(C129,IF(AND(F122&lt;&gt;0,C120&lt;&gt;0),M123,M123/F123*D120)/(C129+Q123),"")</f>
        <v/>
      </c>
      <c r="H129" s="1" t="str">
        <f>IF(C129,(M124)/(C129+Q124),"")</f>
        <v/>
      </c>
      <c r="I129" s="1" t="str">
        <f>IF(C129,(M125)/(C129+Q125),"")</f>
        <v/>
      </c>
      <c r="J129" s="1" t="str">
        <f>IF(C129,(M126)/(C129+Q126),"")</f>
        <v/>
      </c>
      <c r="K129" s="14" t="str">
        <f>IF(AND(C129&lt;&gt;"",N120&lt;&gt;""),9.8*N120*LN((C129+Q122)/(C129+R122)),"")</f>
        <v/>
      </c>
      <c r="L129" s="1" t="str">
        <f>IF(C129,9.8*F123*LN((C129+Q123)/(C129+R123)),"")</f>
        <v/>
      </c>
      <c r="M129" s="1" t="str">
        <f>IF(C129,9.8*F124*LN((C129+Q124)/(C129+R124)),"")</f>
        <v/>
      </c>
      <c r="N129" s="1" t="str">
        <f>IF(C129,9.8*F125*LN((C129+Q125)/(C129+R125)),"")</f>
        <v/>
      </c>
      <c r="O129" s="1" t="str">
        <f>IF(C129,9.8*F126*LN((C129+Q126)/(C129+R126)),"")</f>
        <v/>
      </c>
      <c r="P129" s="15" t="str">
        <f>IF(C129,SUM(K129:O129),"")</f>
        <v/>
      </c>
      <c r="Q129" s="1"/>
      <c r="R129" s="1"/>
      <c r="S129" s="1"/>
      <c r="T129" s="32" t="str">
        <f t="shared" ref="T129:T131" si="39">IF(OR(F129&lt;1,AND(F129="",G129&lt;1)),"起飞推重比不得小于0，空天飞机除外","")</f>
        <v/>
      </c>
      <c r="U129" s="1"/>
      <c r="V129" s="1"/>
    </row>
    <row r="130" spans="1:22">
      <c r="A130" s="40"/>
      <c r="B130" s="27" t="s">
        <v>36</v>
      </c>
      <c r="C130" s="9"/>
      <c r="D130" s="1" t="str">
        <f>IF(C130,C130+Q122,"")</f>
        <v/>
      </c>
      <c r="E130" s="72" t="str">
        <f t="shared" si="38"/>
        <v/>
      </c>
      <c r="F130" s="14" t="str">
        <f>IF(AND(C130&lt;&gt;"",N120&lt;&gt;""),(M122/F122*E120+M123/F123*D120)/(C130+Q122),"")</f>
        <v/>
      </c>
      <c r="G130" s="1" t="str">
        <f>IF(C130,IF(AND(F122&lt;&gt;0,C120&lt;&gt;0),M123,M123/F123*D120)/(C130+Q123),"")</f>
        <v/>
      </c>
      <c r="H130" s="1" t="str">
        <f>IF(C130,(M124)/(C130+Q124),"")</f>
        <v/>
      </c>
      <c r="I130" s="1" t="str">
        <f>IF(C130,(M125)/(C130+Q125),"")</f>
        <v/>
      </c>
      <c r="J130" s="1" t="str">
        <f>IF(C130,(M126)/(C130+Q126),"")</f>
        <v/>
      </c>
      <c r="K130" s="14" t="str">
        <f>IF(AND(C130&lt;&gt;"",N120&lt;&gt;""),9.8*N120*LN((C130+Q122)/(C130+R122)),"")</f>
        <v/>
      </c>
      <c r="L130" s="1" t="str">
        <f>IF(C130,9.8*F123*LN((C130+Q123)/(C130+R123)),"")</f>
        <v/>
      </c>
      <c r="M130" s="1" t="str">
        <f>IF(C130,9.8*F124*LN((C130+Q124)/(C130+R124)),"")</f>
        <v/>
      </c>
      <c r="N130" s="1" t="str">
        <f>IF(C130,9.8*F125*LN((C130+Q125)/(C130+R125)),"")</f>
        <v/>
      </c>
      <c r="O130" s="1" t="str">
        <f>IF(C130,9.8*F126*LN((C130+Q126)/(C130+R126)),"")</f>
        <v/>
      </c>
      <c r="P130" s="15" t="str">
        <f>IF(C130,SUM(K130:O130),"")</f>
        <v/>
      </c>
      <c r="Q130" s="1"/>
      <c r="R130" s="1"/>
      <c r="S130" s="1"/>
      <c r="T130" s="32" t="str">
        <f t="shared" si="39"/>
        <v/>
      </c>
      <c r="U130" s="1"/>
      <c r="V130" s="1"/>
    </row>
    <row r="131" spans="1:22" ht="15" thickBot="1">
      <c r="A131" s="47"/>
      <c r="B131" s="28" t="s">
        <v>5</v>
      </c>
      <c r="C131" s="10">
        <v>5</v>
      </c>
      <c r="D131" s="1">
        <f>IF(C131,C131+Q122,"")</f>
        <v>428</v>
      </c>
      <c r="E131" s="72">
        <f t="shared" si="38"/>
        <v>1.1682242990654205E-2</v>
      </c>
      <c r="F131" s="14" t="str">
        <f>IF(AND(C131&lt;&gt;"",N120&lt;&gt;""),(M122/F122*E120+M123/F123*D120)/(C131+Q122),"")</f>
        <v/>
      </c>
      <c r="G131" s="1">
        <f>IF(C131,IF(AND(F122&lt;&gt;0,C120&lt;&gt;0),M123,M123/F123*D120)/(C131+Q123),"")</f>
        <v>1.1920173643753804</v>
      </c>
      <c r="H131" s="1">
        <f>IF(C131,(M124)/(C131+Q124),"")</f>
        <v>0.578125</v>
      </c>
      <c r="I131" s="1">
        <f>IF(C131,(M125)/(C131+Q125),"")</f>
        <v>0</v>
      </c>
      <c r="J131" s="1">
        <f>IF(C131,(M126)/(C131+Q126),"")</f>
        <v>0</v>
      </c>
      <c r="K131" s="14" t="str">
        <f>IF(AND(C131&lt;&gt;"",N120&lt;&gt;""),9.8*N120*LN((C131+Q122)/(C131+R122)),"")</f>
        <v/>
      </c>
      <c r="L131" s="1">
        <f>IF(C131,9.8*F123*LN((C131+Q123)/(C131+R123)),"")</f>
        <v>5092.2671904279032</v>
      </c>
      <c r="M131" s="1">
        <f>IF(C131,9.8*F124*LN((C131+Q124)/(C131+R124)),"")</f>
        <v>6101.8556188603043</v>
      </c>
      <c r="N131" s="1">
        <f>IF(C131,9.8*F125*LN((C131+Q125)/(C131+R125)),"")</f>
        <v>0</v>
      </c>
      <c r="O131" s="1">
        <f>IF(C131,9.8*F126*LN((C131+Q126)/(C131+R126)),"")</f>
        <v>0</v>
      </c>
      <c r="P131" s="15">
        <f>IF(C131,SUM(K131:O131),"")</f>
        <v>11194.122809288208</v>
      </c>
      <c r="Q131" s="17"/>
      <c r="R131" s="17"/>
      <c r="S131" s="17"/>
      <c r="T131" s="32" t="str">
        <f t="shared" si="39"/>
        <v/>
      </c>
      <c r="U131" s="1"/>
      <c r="V131" s="1"/>
    </row>
    <row r="132" spans="1:22" ht="15" thickBot="1">
      <c r="A132" s="33" t="s">
        <v>45</v>
      </c>
      <c r="B132" s="26" t="s">
        <v>37</v>
      </c>
      <c r="C132" s="1" t="s">
        <v>9</v>
      </c>
      <c r="D132" s="12" t="s">
        <v>28</v>
      </c>
      <c r="E132" s="12" t="s">
        <v>266</v>
      </c>
      <c r="F132" s="11" t="s">
        <v>40</v>
      </c>
      <c r="G132" s="12" t="s">
        <v>29</v>
      </c>
      <c r="H132" s="12" t="s">
        <v>23</v>
      </c>
      <c r="I132" s="12" t="s">
        <v>24</v>
      </c>
      <c r="J132" s="12" t="s">
        <v>25</v>
      </c>
      <c r="K132" s="11" t="s">
        <v>19</v>
      </c>
      <c r="L132" s="12" t="s">
        <v>26</v>
      </c>
      <c r="M132" s="12" t="s">
        <v>20</v>
      </c>
      <c r="N132" s="12" t="s">
        <v>21</v>
      </c>
      <c r="O132" s="12" t="s">
        <v>22</v>
      </c>
      <c r="P132" s="13" t="s">
        <v>27</v>
      </c>
      <c r="Q132" s="85" t="s">
        <v>42</v>
      </c>
      <c r="R132" s="85"/>
      <c r="S132" s="85"/>
      <c r="T132" s="12" t="s">
        <v>51</v>
      </c>
      <c r="U132" s="37" t="s">
        <v>45</v>
      </c>
      <c r="V132" s="38" t="s">
        <v>48</v>
      </c>
    </row>
    <row r="133" spans="1:22">
      <c r="A133" s="40"/>
      <c r="B133" s="27" t="s">
        <v>30</v>
      </c>
      <c r="C133" s="8"/>
      <c r="D133" s="1" t="str">
        <f>IF(C133,C133+Q122,"")</f>
        <v/>
      </c>
      <c r="E133" s="72" t="str">
        <f>IF(C133,C133/D133,"")</f>
        <v/>
      </c>
      <c r="F133" s="14" t="str">
        <f>IF(AND(C133&lt;&gt;"",N120&lt;&gt;""),(M122/F122*E120+M123/F123*D120)/(C133+U122),"")</f>
        <v/>
      </c>
      <c r="G133" s="1" t="str">
        <f>IF(C133,IF(AND(F122&lt;&gt;0,C120&lt;&gt;0),M123,M123/F123*D120)/(C133+U123),"")</f>
        <v/>
      </c>
      <c r="H133" s="1" t="str">
        <f>IF(C133,(M124)/(C133+U124),"")</f>
        <v/>
      </c>
      <c r="I133" s="1" t="str">
        <f>IF(C133,(M125)/(C133+U125),"")</f>
        <v/>
      </c>
      <c r="J133" s="1" t="str">
        <f>IF(C133,(M126)/(C133+U126),"")</f>
        <v/>
      </c>
      <c r="K133" s="14" t="str">
        <f>IF(AND(C133&lt;&gt;"",N120&lt;&gt;""),9.8*N120*LN((C133+U122)/(C133+V122)),"")</f>
        <v/>
      </c>
      <c r="L133" s="1" t="str">
        <f>IF(C133,9.8*F123*LN((C133+U123)/(C133+V123)),"")</f>
        <v/>
      </c>
      <c r="M133" s="1" t="str">
        <f>IF(C133,9.8*F124*LN((C133+U124)/(C133+V124)),"")</f>
        <v/>
      </c>
      <c r="N133" s="1" t="str">
        <f>IF(C133,9.8*F125*LN((C133+U125)/(C133+V125)),"")</f>
        <v/>
      </c>
      <c r="O133" s="1" t="str">
        <f>IF(C133,9.8*F126*LN((C133+U126)/(C133+V126)),"")</f>
        <v/>
      </c>
      <c r="P133" s="15" t="str">
        <f>IF(C133,SUM(K133:O133),"")</f>
        <v/>
      </c>
      <c r="Q133" s="1"/>
      <c r="R133" s="1"/>
      <c r="S133" s="1"/>
      <c r="T133" s="32" t="str">
        <f>IF(OR(F133&lt;1,AND(F133="",G133&lt;1)),"起飞推重比不得小于0，空天飞机除外","")</f>
        <v/>
      </c>
      <c r="U133" s="1"/>
      <c r="V133" s="1"/>
    </row>
    <row r="134" spans="1:22">
      <c r="A134" s="47"/>
      <c r="B134" s="27" t="s">
        <v>31</v>
      </c>
      <c r="C134" s="9"/>
      <c r="D134" s="1" t="str">
        <f>IF(C134,C134+Q122,"")</f>
        <v/>
      </c>
      <c r="E134" s="72" t="str">
        <f t="shared" ref="E134:E136" si="40">IF(C134,C134/D134,"")</f>
        <v/>
      </c>
      <c r="F134" s="14" t="str">
        <f>IF(AND(C134&lt;&gt;"",N120&lt;&gt;""),(M122/F122*E120+M123/F123*D120)/(C134+U122),"")</f>
        <v/>
      </c>
      <c r="G134" s="1" t="str">
        <f>IF(C134,IF(AND(F122&lt;&gt;0,C120&lt;&gt;0),M123,M123/F123*D120)/(C134+U123),"")</f>
        <v/>
      </c>
      <c r="H134" s="1" t="str">
        <f>IF(C134,(M124)/(C134+U124),"")</f>
        <v/>
      </c>
      <c r="I134" s="1" t="str">
        <f>IF(C134,(M125)/(C134+U125),"")</f>
        <v/>
      </c>
      <c r="J134" s="1" t="str">
        <f>IF(C134,(M126)/(C134+U126),"")</f>
        <v/>
      </c>
      <c r="K134" s="14" t="str">
        <f>IF(AND(C134&lt;&gt;"",N120&lt;&gt;""),9.8*N120*LN((C134+U122)/(C134+V122)),"")</f>
        <v/>
      </c>
      <c r="L134" s="1" t="str">
        <f>IF(C134,9.8*F123*LN((C134+U123)/(C134+V123)),"")</f>
        <v/>
      </c>
      <c r="M134" s="1" t="str">
        <f>IF(C134,9.8*F124*LN((C134+U124)/(C134+V124)),"")</f>
        <v/>
      </c>
      <c r="N134" s="1" t="str">
        <f>IF(C134,9.8*F125*LN((C134+U125)/(C134+V125)),"")</f>
        <v/>
      </c>
      <c r="O134" s="1" t="str">
        <f>IF(C134,9.8*F126*LN((C134+U126)/(C134+V126)),"")</f>
        <v/>
      </c>
      <c r="P134" s="15" t="str">
        <f>IF(C134,SUM(K134:O134),"")</f>
        <v/>
      </c>
      <c r="Q134" s="1"/>
      <c r="R134" s="1"/>
      <c r="S134" s="1"/>
      <c r="T134" s="32" t="str">
        <f t="shared" ref="T134:T136" si="41">IF(OR(F134&lt;1,AND(F134="",G134&lt;1)),"起飞推重比不得小于0，空天飞机除外","")</f>
        <v/>
      </c>
      <c r="U134" s="1"/>
      <c r="V134" s="1"/>
    </row>
    <row r="135" spans="1:22">
      <c r="A135" s="47"/>
      <c r="B135" s="27" t="s">
        <v>32</v>
      </c>
      <c r="C135" s="9"/>
      <c r="D135" s="1" t="str">
        <f>IF(C135,C135+Q122,"")</f>
        <v/>
      </c>
      <c r="E135" s="72" t="str">
        <f t="shared" si="40"/>
        <v/>
      </c>
      <c r="F135" s="14" t="str">
        <f>IF(AND(C135&lt;&gt;"",N120&lt;&gt;""),(M122/F122*E120+M123/F123*D120)/(C135+U122),"")</f>
        <v/>
      </c>
      <c r="G135" s="1" t="str">
        <f>IF(C135,IF(AND(F122&lt;&gt;0,C120&lt;&gt;0),M123,M123/F123*D120)/(C135+U123),"")</f>
        <v/>
      </c>
      <c r="H135" s="1" t="str">
        <f>IF(C135,(M124)/(C135+U124),"")</f>
        <v/>
      </c>
      <c r="I135" s="1" t="str">
        <f>IF(C135,(M125)/(C135+U125),"")</f>
        <v/>
      </c>
      <c r="J135" s="1" t="str">
        <f>IF(C135,(M126)/(C135+U126),"")</f>
        <v/>
      </c>
      <c r="K135" s="14" t="str">
        <f>IF(AND(C135&lt;&gt;"",N120&lt;&gt;""),9.8*N120*LN((C135+U122)/(C135+V122)),"")</f>
        <v/>
      </c>
      <c r="L135" s="1" t="str">
        <f>IF(C135,9.8*F123*LN((C135+U123)/(C135+V123)),"")</f>
        <v/>
      </c>
      <c r="M135" s="1" t="str">
        <f>IF(C135,9.8*F124*LN((C135+U124)/(C135+V124)),"")</f>
        <v/>
      </c>
      <c r="N135" s="1" t="str">
        <f>IF(C135,9.8*F125*LN((C135+U125)/(C135+V125)),"")</f>
        <v/>
      </c>
      <c r="O135" s="1" t="str">
        <f>IF(C135,9.8*F126*LN((C135+U126)/(C135+V126)),"")</f>
        <v/>
      </c>
      <c r="P135" s="15" t="str">
        <f>IF(C135,SUM(K135:O135),"")</f>
        <v/>
      </c>
      <c r="Q135" s="1"/>
      <c r="R135" s="1"/>
      <c r="S135" s="1"/>
      <c r="T135" s="32" t="str">
        <f t="shared" si="41"/>
        <v/>
      </c>
      <c r="U135" s="1"/>
      <c r="V135" s="1"/>
    </row>
    <row r="136" spans="1:22" ht="15" thickBot="1">
      <c r="A136" s="48" t="s">
        <v>46</v>
      </c>
      <c r="B136" s="49" t="s">
        <v>33</v>
      </c>
      <c r="C136" s="50"/>
      <c r="D136" s="25" t="str">
        <f>IF(C136,C136+Q122,"")</f>
        <v/>
      </c>
      <c r="E136" s="73" t="str">
        <f t="shared" si="40"/>
        <v/>
      </c>
      <c r="F136" s="70" t="str">
        <f>IF(AND(C136&lt;&gt;"",N120&lt;&gt;""),(M122/F122*E120+M123/F123*D120)/(C136+U122),"")</f>
        <v/>
      </c>
      <c r="G136" s="25" t="str">
        <f>IF(C136,IF(AND(F122&lt;&gt;0,C120&lt;&gt;0),M123,M123/F123*D120)/(C136+U123),"")</f>
        <v/>
      </c>
      <c r="H136" s="25" t="str">
        <f>IF(C136,(M124)/(C136+U124),"")</f>
        <v/>
      </c>
      <c r="I136" s="25" t="str">
        <f>IF(C136,(M125)/(C136+U125),"")</f>
        <v/>
      </c>
      <c r="J136" s="25" t="str">
        <f>IF(C136,(M126)/(C136+U126),"")</f>
        <v/>
      </c>
      <c r="K136" s="70" t="str">
        <f>IF(AND(C136&lt;&gt;"",N120&lt;&gt;""),9.8*N120*LN((C136+U122)/(C136+V122)),"")</f>
        <v/>
      </c>
      <c r="L136" s="25" t="str">
        <f>IF(C136,9.8*F123*LN((C136+U123)/(C136+V123)),"")</f>
        <v/>
      </c>
      <c r="M136" s="25" t="str">
        <f>IF(C136,9.8*F124*LN((C136+U124)/(C136+V124)),"")</f>
        <v/>
      </c>
      <c r="N136" s="25" t="str">
        <f>IF(C136,9.8*F125*LN((C136+U125)/(C136+V125)),"")</f>
        <v/>
      </c>
      <c r="O136" s="25" t="str">
        <f>IF(C136,9.8*F126*LN((C136+U126)/(C136+V126)),"")</f>
        <v/>
      </c>
      <c r="P136" s="71" t="str">
        <f>IF(C136,SUM(K136:O136),"")</f>
        <v/>
      </c>
      <c r="Q136" s="25"/>
      <c r="R136" s="25"/>
      <c r="S136" s="25"/>
      <c r="T136" s="51" t="str">
        <f t="shared" si="41"/>
        <v/>
      </c>
      <c r="U136" s="25"/>
      <c r="V136" s="25"/>
    </row>
    <row r="137" spans="1:22" ht="15" thickBot="1"/>
    <row r="138" spans="1:22" ht="15" thickBot="1">
      <c r="A138" s="52" t="s">
        <v>409</v>
      </c>
      <c r="B138" s="52"/>
      <c r="C138" s="29" t="s">
        <v>0</v>
      </c>
      <c r="D138" s="90" t="s">
        <v>41</v>
      </c>
      <c r="E138" s="90"/>
      <c r="F138" s="43"/>
      <c r="G138" s="43"/>
      <c r="H138" s="43"/>
      <c r="I138" s="86" t="s">
        <v>42</v>
      </c>
      <c r="J138" s="86"/>
      <c r="K138" s="86"/>
      <c r="L138" s="54" t="s">
        <v>70</v>
      </c>
      <c r="M138" s="86" t="s">
        <v>71</v>
      </c>
      <c r="N138" s="86"/>
      <c r="O138" s="87"/>
      <c r="P138" s="29" t="s">
        <v>49</v>
      </c>
      <c r="Q138" s="34" t="str">
        <f>IF(OR(P142&lt;P141,T142&lt;T141),"芯级燃烧时间不得小于助推燃烧时间！","")</f>
        <v/>
      </c>
      <c r="R138" s="44"/>
      <c r="S138" s="45"/>
      <c r="T138" s="29"/>
      <c r="U138" s="46" t="s">
        <v>45</v>
      </c>
      <c r="V138" s="46" t="s">
        <v>48</v>
      </c>
    </row>
    <row r="139" spans="1:22" ht="15" thickBot="1">
      <c r="A139" s="40" t="s">
        <v>406</v>
      </c>
      <c r="B139" s="39"/>
      <c r="C139" s="2">
        <v>4</v>
      </c>
      <c r="D139" s="2">
        <v>302</v>
      </c>
      <c r="E139" s="2">
        <v>302</v>
      </c>
      <c r="F139" s="41"/>
      <c r="G139" s="42"/>
      <c r="H139" s="42"/>
      <c r="I139" s="24" t="s">
        <v>435</v>
      </c>
      <c r="J139" s="24"/>
      <c r="K139" s="24"/>
      <c r="L139" s="55">
        <f>IFERROR(IF(AND(F141&lt;&gt;0,C139&lt;&gt;0),M141/F141*E139+M142/F142*D139,M142/F142*D139),0)</f>
        <v>2550.917159763314</v>
      </c>
      <c r="M139" s="53" t="s">
        <v>45</v>
      </c>
      <c r="N139" s="17">
        <f>IF(AND(F141&lt;&gt;0,C139&lt;&gt;0),(M141+M142)/(M141/F141+M142/F142),"")</f>
        <v>337.99999999999994</v>
      </c>
      <c r="O139" s="56" t="s">
        <v>46</v>
      </c>
      <c r="P139" s="89" t="s">
        <v>17</v>
      </c>
      <c r="Q139" s="89"/>
      <c r="R139" s="91"/>
      <c r="S139" s="88" t="s">
        <v>18</v>
      </c>
      <c r="T139" s="89"/>
      <c r="U139" s="89"/>
      <c r="V139" s="89"/>
    </row>
    <row r="140" spans="1:22" ht="15" thickBot="1">
      <c r="A140" s="33" t="s">
        <v>45</v>
      </c>
      <c r="B140" s="26" t="s">
        <v>39</v>
      </c>
      <c r="C140" s="1" t="s">
        <v>60</v>
      </c>
      <c r="D140" s="1" t="s">
        <v>61</v>
      </c>
      <c r="E140" s="1" t="s">
        <v>62</v>
      </c>
      <c r="F140" s="1" t="s">
        <v>63</v>
      </c>
      <c r="G140" s="1" t="s">
        <v>64</v>
      </c>
      <c r="H140" s="1" t="s">
        <v>65</v>
      </c>
      <c r="I140" s="60" t="str">
        <f>HYPERLINK(":\Reference\煤油火箭.jpg","煤油火箭.jpg")</f>
        <v>煤油火箭.jpg</v>
      </c>
      <c r="J140" s="24"/>
      <c r="K140" s="24"/>
      <c r="L140" s="11" t="s">
        <v>6</v>
      </c>
      <c r="M140" s="12" t="s">
        <v>69</v>
      </c>
      <c r="N140" s="12" t="s">
        <v>15</v>
      </c>
      <c r="O140" s="13" t="s">
        <v>14</v>
      </c>
      <c r="P140" s="14" t="s">
        <v>12</v>
      </c>
      <c r="Q140" s="1" t="s">
        <v>10</v>
      </c>
      <c r="R140" s="15" t="s">
        <v>11</v>
      </c>
      <c r="S140" s="14" t="s">
        <v>13</v>
      </c>
      <c r="T140" s="1" t="s">
        <v>16</v>
      </c>
      <c r="U140" s="1" t="s">
        <v>10</v>
      </c>
      <c r="V140" s="1" t="s">
        <v>11</v>
      </c>
    </row>
    <row r="141" spans="1:22">
      <c r="A141" s="40"/>
      <c r="B141" s="27" t="s">
        <v>3</v>
      </c>
      <c r="C141" s="3">
        <v>364</v>
      </c>
      <c r="D141" s="4">
        <v>13</v>
      </c>
      <c r="E141" s="4">
        <v>571</v>
      </c>
      <c r="F141" s="4">
        <v>338</v>
      </c>
      <c r="G141" s="19"/>
      <c r="H141" s="20"/>
      <c r="I141" s="24" t="s">
        <v>436</v>
      </c>
      <c r="J141" s="24"/>
      <c r="K141" s="24"/>
      <c r="L141" s="14">
        <f>C141*C139</f>
        <v>1456</v>
      </c>
      <c r="M141" s="1">
        <f>E141*C139</f>
        <v>2284</v>
      </c>
      <c r="N141" s="1">
        <f>IF(D141,L141/D141,0)</f>
        <v>112</v>
      </c>
      <c r="O141" s="15">
        <f>L141-N141</f>
        <v>1344</v>
      </c>
      <c r="P141" s="14">
        <f>IF(AND(F141&lt;&gt;0,C139&lt;&gt;0),O141/M141*F141/IF(G141,G141,1),0)</f>
        <v>198.89316987740807</v>
      </c>
      <c r="Q141" s="1">
        <f>SUM(L141:L145)</f>
        <v>2130</v>
      </c>
      <c r="R141" s="15">
        <f>N141+Q142</f>
        <v>584.4</v>
      </c>
      <c r="S141" s="14">
        <f>N141+H141*O141</f>
        <v>112</v>
      </c>
      <c r="T141" s="1">
        <f>IF(AND(F141&lt;&gt;0,C139&lt;&gt;0),(1-H141)*O141/M141*F141/IF(G141,G141,1),0)</f>
        <v>198.89316987740807</v>
      </c>
      <c r="U141" s="1">
        <f>SUM(L141:L145)</f>
        <v>2130</v>
      </c>
      <c r="V141" s="1">
        <f>S141+U142</f>
        <v>584.4</v>
      </c>
    </row>
    <row r="142" spans="1:22">
      <c r="A142" s="47"/>
      <c r="B142" s="27">
        <v>1</v>
      </c>
      <c r="C142" s="5">
        <v>364</v>
      </c>
      <c r="D142" s="1">
        <v>13</v>
      </c>
      <c r="E142" s="1">
        <v>571</v>
      </c>
      <c r="F142" s="1">
        <v>338</v>
      </c>
      <c r="G142" s="5">
        <v>0.6</v>
      </c>
      <c r="H142" s="21"/>
      <c r="I142" s="30" t="s">
        <v>436</v>
      </c>
      <c r="J142" s="30"/>
      <c r="K142" s="30"/>
      <c r="L142" s="14">
        <f>C142</f>
        <v>364</v>
      </c>
      <c r="M142" s="1">
        <f>E142</f>
        <v>571</v>
      </c>
      <c r="N142" s="1">
        <f>IF(D142,L142/D142,0)</f>
        <v>28</v>
      </c>
      <c r="O142" s="15">
        <f>L142-N142</f>
        <v>336</v>
      </c>
      <c r="P142" s="14">
        <f t="shared" ref="P142:P145" si="42">IF(F142,O142/M142*F142/IF(G142,G142,1),0)</f>
        <v>331.48861646234678</v>
      </c>
      <c r="Q142" s="1">
        <f>IF(F142,SUM(L142:L145)-P141*M142/F142*IF(G142,G142,1),0)</f>
        <v>472.4</v>
      </c>
      <c r="R142" s="15">
        <f>N142+Q143</f>
        <v>338</v>
      </c>
      <c r="S142" s="14">
        <f>N142+H142*O142</f>
        <v>28</v>
      </c>
      <c r="T142" s="1">
        <f>IF(F142,(1-H142)*O142/M142*F142/IF(G142,G142,1),0)</f>
        <v>331.48861646234678</v>
      </c>
      <c r="U142" s="1">
        <f>IF(F142,SUM(L142:L145)-T141*M142/F142*IF(G142,G142,1),0)</f>
        <v>472.4</v>
      </c>
      <c r="V142" s="1">
        <f>S142+U143</f>
        <v>338</v>
      </c>
    </row>
    <row r="143" spans="1:22">
      <c r="A143" s="47"/>
      <c r="B143" s="27">
        <v>2</v>
      </c>
      <c r="C143" s="5">
        <v>310</v>
      </c>
      <c r="D143" s="1">
        <v>16</v>
      </c>
      <c r="E143" s="1">
        <v>281</v>
      </c>
      <c r="F143" s="1">
        <v>351</v>
      </c>
      <c r="G143" s="5"/>
      <c r="H143" s="21"/>
      <c r="I143" s="30" t="s">
        <v>101</v>
      </c>
      <c r="J143" s="30"/>
      <c r="K143" s="30"/>
      <c r="L143" s="14">
        <f>C143</f>
        <v>310</v>
      </c>
      <c r="M143" s="1">
        <f>E143</f>
        <v>281</v>
      </c>
      <c r="N143" s="1">
        <f>IF(D143,L143/D143,0)</f>
        <v>19.375</v>
      </c>
      <c r="O143" s="15">
        <f>L143-N143</f>
        <v>290.625</v>
      </c>
      <c r="P143" s="14">
        <f t="shared" si="42"/>
        <v>363.02268683274019</v>
      </c>
      <c r="Q143" s="1">
        <f>SUM(L143:L145)</f>
        <v>310</v>
      </c>
      <c r="R143" s="15">
        <f>N143+Q144</f>
        <v>19.375</v>
      </c>
      <c r="S143" s="14">
        <f>N143+H143*O143</f>
        <v>19.375</v>
      </c>
      <c r="T143" s="1">
        <f t="shared" ref="T143:T145" si="43">IF(F143,(1-H143)*O143/M143*F143/IF(G143,G143,1),0)</f>
        <v>363.02268683274019</v>
      </c>
      <c r="U143" s="1">
        <f>SUM(L143:L145)</f>
        <v>310</v>
      </c>
      <c r="V143" s="1">
        <f>S143+U144</f>
        <v>19.375</v>
      </c>
    </row>
    <row r="144" spans="1:22">
      <c r="A144" s="33" t="s">
        <v>45</v>
      </c>
      <c r="B144" s="27">
        <v>3</v>
      </c>
      <c r="C144" s="5"/>
      <c r="D144" s="1"/>
      <c r="E144" s="1"/>
      <c r="F144" s="1"/>
      <c r="G144" s="5"/>
      <c r="H144" s="21"/>
      <c r="I144" s="30"/>
      <c r="J144" s="30"/>
      <c r="K144" s="30"/>
      <c r="L144" s="14">
        <f>C144</f>
        <v>0</v>
      </c>
      <c r="M144" s="1">
        <f>E144</f>
        <v>0</v>
      </c>
      <c r="N144" s="1">
        <f>IF(D144,L144/D144,0)</f>
        <v>0</v>
      </c>
      <c r="O144" s="15">
        <f>L144-N144</f>
        <v>0</v>
      </c>
      <c r="P144" s="14">
        <f t="shared" si="42"/>
        <v>0</v>
      </c>
      <c r="Q144" s="1">
        <f>SUM(L144:L145)</f>
        <v>0</v>
      </c>
      <c r="R144" s="15">
        <f>N144+Q145</f>
        <v>0</v>
      </c>
      <c r="S144" s="14">
        <f>N144+H144*O144</f>
        <v>0</v>
      </c>
      <c r="T144" s="1">
        <f t="shared" si="43"/>
        <v>0</v>
      </c>
      <c r="U144" s="1">
        <f>SUM(L144:L145)</f>
        <v>0</v>
      </c>
      <c r="V144" s="1">
        <f>S144+U145</f>
        <v>0</v>
      </c>
    </row>
    <row r="145" spans="1:22" ht="15" thickBot="1">
      <c r="A145" s="40"/>
      <c r="B145" s="28">
        <v>4</v>
      </c>
      <c r="C145" s="6"/>
      <c r="D145" s="7"/>
      <c r="E145" s="7"/>
      <c r="F145" s="7"/>
      <c r="G145" s="22"/>
      <c r="H145" s="23"/>
      <c r="I145" s="24"/>
      <c r="J145" s="24"/>
      <c r="K145" s="24"/>
      <c r="L145" s="16">
        <f>C145</f>
        <v>0</v>
      </c>
      <c r="M145" s="17">
        <f>E145</f>
        <v>0</v>
      </c>
      <c r="N145" s="17">
        <f>IF(D145,L145/D145,0)</f>
        <v>0</v>
      </c>
      <c r="O145" s="18">
        <f>L145-N145</f>
        <v>0</v>
      </c>
      <c r="P145" s="14">
        <f t="shared" si="42"/>
        <v>0</v>
      </c>
      <c r="Q145" s="17">
        <f>SUM(L145:L145)</f>
        <v>0</v>
      </c>
      <c r="R145" s="18">
        <f>N145</f>
        <v>0</v>
      </c>
      <c r="S145" s="16">
        <f>N145+H145*O145</f>
        <v>0</v>
      </c>
      <c r="T145" s="17">
        <f t="shared" si="43"/>
        <v>0</v>
      </c>
      <c r="U145" s="17">
        <f>SUM(L145:L145)</f>
        <v>0</v>
      </c>
      <c r="V145" s="17">
        <f>S145</f>
        <v>0</v>
      </c>
    </row>
    <row r="146" spans="1:22" ht="15" thickBot="1">
      <c r="A146" s="47"/>
      <c r="B146" s="26" t="s">
        <v>38</v>
      </c>
      <c r="C146" s="1" t="s">
        <v>4</v>
      </c>
      <c r="D146" s="1" t="s">
        <v>28</v>
      </c>
      <c r="E146" s="1" t="s">
        <v>265</v>
      </c>
      <c r="F146" s="69" t="s">
        <v>40</v>
      </c>
      <c r="G146" s="1" t="s">
        <v>29</v>
      </c>
      <c r="H146" s="1" t="s">
        <v>23</v>
      </c>
      <c r="I146" s="12" t="s">
        <v>24</v>
      </c>
      <c r="J146" s="12" t="s">
        <v>25</v>
      </c>
      <c r="K146" s="11" t="s">
        <v>19</v>
      </c>
      <c r="L146" s="12" t="s">
        <v>26</v>
      </c>
      <c r="M146" s="12" t="s">
        <v>20</v>
      </c>
      <c r="N146" s="12" t="s">
        <v>21</v>
      </c>
      <c r="O146" s="12" t="s">
        <v>22</v>
      </c>
      <c r="P146" s="13" t="s">
        <v>27</v>
      </c>
      <c r="Q146" s="85" t="s">
        <v>42</v>
      </c>
      <c r="R146" s="85"/>
      <c r="S146" s="85"/>
      <c r="T146" s="31" t="s">
        <v>50</v>
      </c>
      <c r="U146" s="35" t="s">
        <v>47</v>
      </c>
      <c r="V146" s="36" t="s">
        <v>264</v>
      </c>
    </row>
    <row r="147" spans="1:22">
      <c r="A147" s="47"/>
      <c r="B147" s="27" t="s">
        <v>30</v>
      </c>
      <c r="C147" s="8">
        <v>70</v>
      </c>
      <c r="D147" s="1">
        <f>IF(C147,C147+Q141,"")</f>
        <v>2200</v>
      </c>
      <c r="E147" s="72">
        <f>IF(C147,C147/D147,"")</f>
        <v>3.1818181818181815E-2</v>
      </c>
      <c r="F147" s="14">
        <f>IF(AND(C147&lt;&gt;"",N139&lt;&gt;""),(M141/F141*E139+M142/F142*D139)/(C147+Q141),"")</f>
        <v>1.1595077998924155</v>
      </c>
      <c r="G147" s="1">
        <f>IF(C147,IF(AND(F141&lt;&gt;0,C139&lt;&gt;0),M142,M142/F142*D139)/(C147+Q142),"")</f>
        <v>1.0527286135693217</v>
      </c>
      <c r="H147" s="1">
        <f>IF(C147,(M143)/(C147+Q143),"")</f>
        <v>0.73947368421052628</v>
      </c>
      <c r="I147" s="1">
        <f>IF(C147,(M144)/(C147+Q144),"")</f>
        <v>0</v>
      </c>
      <c r="J147" s="1">
        <f>IF(C147,(M145)/(C147+Q145),"")</f>
        <v>0</v>
      </c>
      <c r="K147" s="14">
        <f>IF(AND(C147&lt;&gt;"",N139&lt;&gt;""),9.8*N139*LN((C147+Q141)/(C147+R141)),"")</f>
        <v>4016.2646421812883</v>
      </c>
      <c r="L147" s="1">
        <f>IF(C147,9.8*F142*LN((C147+Q142)/(C147+R142)),"")</f>
        <v>943.16138870423265</v>
      </c>
      <c r="M147" s="1">
        <f>IF(C147,9.8*F143*LN((C147+Q143)/(C147+R143)),"")</f>
        <v>4978.5265998191917</v>
      </c>
      <c r="N147" s="1">
        <f>IF(C147,9.8*F144*LN((C147+Q144)/(C147+R144)),"")</f>
        <v>0</v>
      </c>
      <c r="O147" s="1">
        <f>IF(C147,9.8*F145*LN((C147+Q145)/(C147+R145)),"")</f>
        <v>0</v>
      </c>
      <c r="P147" s="15">
        <f>IF(C147,SUM(K147:O147),"")</f>
        <v>9937.9526307047126</v>
      </c>
      <c r="Q147" s="1"/>
      <c r="R147" s="1"/>
      <c r="S147" s="1"/>
      <c r="T147" s="32" t="str">
        <f>IF(OR(F147&lt;1,AND(F147="",G147&lt;1)),"起飞推重比不得小于0，空天飞机除外","")</f>
        <v/>
      </c>
      <c r="U147" s="1"/>
      <c r="V147" s="1"/>
    </row>
    <row r="148" spans="1:22">
      <c r="A148" s="33" t="s">
        <v>47</v>
      </c>
      <c r="B148" s="27" t="s">
        <v>31</v>
      </c>
      <c r="C148" s="9"/>
      <c r="D148" s="1" t="str">
        <f>IF(C148,C148+Q141,"")</f>
        <v/>
      </c>
      <c r="E148" s="72" t="str">
        <f t="shared" ref="E148:E150" si="44">IF(C148,C148/D148,"")</f>
        <v/>
      </c>
      <c r="F148" s="14" t="str">
        <f>IF(AND(C148&lt;&gt;"",N139&lt;&gt;""),(M141/F141*E139+M142/F142*D139)/(C148+Q141),"")</f>
        <v/>
      </c>
      <c r="G148" s="1" t="str">
        <f>IF(C148,IF(AND(F141&lt;&gt;0,C139&lt;&gt;0),M142,M142/F142*D139)/(C148+Q142),"")</f>
        <v/>
      </c>
      <c r="H148" s="1" t="str">
        <f>IF(C148,(M143)/(C148+Q143),"")</f>
        <v/>
      </c>
      <c r="I148" s="1" t="str">
        <f>IF(C148,(M144)/(C148+Q144),"")</f>
        <v/>
      </c>
      <c r="J148" s="1" t="str">
        <f>IF(C148,(M145)/(C148+Q145),"")</f>
        <v/>
      </c>
      <c r="K148" s="14" t="str">
        <f>IF(AND(C148&lt;&gt;"",N139&lt;&gt;""),9.8*N139*LN((C148+Q141)/(C148+R141)),"")</f>
        <v/>
      </c>
      <c r="L148" s="1" t="str">
        <f>IF(C148,9.8*F142*LN((C148+Q142)/(C148+R142)),"")</f>
        <v/>
      </c>
      <c r="M148" s="1" t="str">
        <f>IF(C148,9.8*F143*LN((C148+Q143)/(C148+R143)),"")</f>
        <v/>
      </c>
      <c r="N148" s="1" t="str">
        <f>IF(C148,9.8*F144*LN((C148+Q144)/(C148+R144)),"")</f>
        <v/>
      </c>
      <c r="O148" s="1" t="str">
        <f>IF(C148,9.8*F145*LN((C148+Q145)/(C148+R145)),"")</f>
        <v/>
      </c>
      <c r="P148" s="15" t="str">
        <f>IF(C148,SUM(K148:O148),"")</f>
        <v/>
      </c>
      <c r="Q148" s="1"/>
      <c r="R148" s="1"/>
      <c r="S148" s="1"/>
      <c r="T148" s="32" t="str">
        <f t="shared" ref="T148:T150" si="45">IF(OR(F148&lt;1,AND(F148="",G148&lt;1)),"起飞推重比不得小于0，空天飞机除外","")</f>
        <v/>
      </c>
      <c r="U148" s="1"/>
      <c r="V148" s="1"/>
    </row>
    <row r="149" spans="1:22">
      <c r="A149" s="40"/>
      <c r="B149" s="27" t="s">
        <v>36</v>
      </c>
      <c r="C149" s="9"/>
      <c r="D149" s="1" t="str">
        <f>IF(C149,C149+Q141,"")</f>
        <v/>
      </c>
      <c r="E149" s="72" t="str">
        <f t="shared" si="44"/>
        <v/>
      </c>
      <c r="F149" s="14" t="str">
        <f>IF(AND(C149&lt;&gt;"",N139&lt;&gt;""),(M141/F141*E139+M142/F142*D139)/(C149+Q141),"")</f>
        <v/>
      </c>
      <c r="G149" s="1" t="str">
        <f>IF(C149,IF(AND(F141&lt;&gt;0,C139&lt;&gt;0),M142,M142/F142*D139)/(C149+Q142),"")</f>
        <v/>
      </c>
      <c r="H149" s="1" t="str">
        <f>IF(C149,(M143)/(C149+Q143),"")</f>
        <v/>
      </c>
      <c r="I149" s="1" t="str">
        <f>IF(C149,(M144)/(C149+Q144),"")</f>
        <v/>
      </c>
      <c r="J149" s="1" t="str">
        <f>IF(C149,(M145)/(C149+Q145),"")</f>
        <v/>
      </c>
      <c r="K149" s="14" t="str">
        <f>IF(AND(C149&lt;&gt;"",N139&lt;&gt;""),9.8*N139*LN((C149+Q141)/(C149+R141)),"")</f>
        <v/>
      </c>
      <c r="L149" s="1" t="str">
        <f>IF(C149,9.8*F142*LN((C149+Q142)/(C149+R142)),"")</f>
        <v/>
      </c>
      <c r="M149" s="1" t="str">
        <f>IF(C149,9.8*F143*LN((C149+Q143)/(C149+R143)),"")</f>
        <v/>
      </c>
      <c r="N149" s="1" t="str">
        <f>IF(C149,9.8*F144*LN((C149+Q144)/(C149+R144)),"")</f>
        <v/>
      </c>
      <c r="O149" s="1" t="str">
        <f>IF(C149,9.8*F145*LN((C149+Q145)/(C149+R145)),"")</f>
        <v/>
      </c>
      <c r="P149" s="15" t="str">
        <f>IF(C149,SUM(K149:O149),"")</f>
        <v/>
      </c>
      <c r="Q149" s="1"/>
      <c r="R149" s="1"/>
      <c r="S149" s="1"/>
      <c r="T149" s="32" t="str">
        <f t="shared" si="45"/>
        <v/>
      </c>
      <c r="U149" s="1"/>
      <c r="V149" s="1"/>
    </row>
    <row r="150" spans="1:22" ht="15" thickBot="1">
      <c r="A150" s="47"/>
      <c r="B150" s="28" t="s">
        <v>5</v>
      </c>
      <c r="C150" s="10"/>
      <c r="D150" s="1" t="str">
        <f>IF(C150,C150+Q141,"")</f>
        <v/>
      </c>
      <c r="E150" s="72" t="str">
        <f t="shared" si="44"/>
        <v/>
      </c>
      <c r="F150" s="14" t="str">
        <f>IF(AND(C150&lt;&gt;"",N139&lt;&gt;""),(M141/F141*E139+M142/F142*D139)/(C150+Q141),"")</f>
        <v/>
      </c>
      <c r="G150" s="1" t="str">
        <f>IF(C150,IF(AND(F141&lt;&gt;0,C139&lt;&gt;0),M142,M142/F142*D139)/(C150+Q142),"")</f>
        <v/>
      </c>
      <c r="H150" s="1" t="str">
        <f>IF(C150,(M143)/(C150+Q143),"")</f>
        <v/>
      </c>
      <c r="I150" s="1" t="str">
        <f>IF(C150,(M144)/(C150+Q144),"")</f>
        <v/>
      </c>
      <c r="J150" s="1" t="str">
        <f>IF(C150,(M145)/(C150+Q145),"")</f>
        <v/>
      </c>
      <c r="K150" s="14" t="str">
        <f>IF(AND(C150&lt;&gt;"",N139&lt;&gt;""),9.8*N139*LN((C150+Q141)/(C150+R141)),"")</f>
        <v/>
      </c>
      <c r="L150" s="1" t="str">
        <f>IF(C150,9.8*F142*LN((C150+Q142)/(C150+R142)),"")</f>
        <v/>
      </c>
      <c r="M150" s="1" t="str">
        <f>IF(C150,9.8*F143*LN((C150+Q143)/(C150+R143)),"")</f>
        <v/>
      </c>
      <c r="N150" s="1" t="str">
        <f>IF(C150,9.8*F144*LN((C150+Q144)/(C150+R144)),"")</f>
        <v/>
      </c>
      <c r="O150" s="1" t="str">
        <f>IF(C150,9.8*F145*LN((C150+Q145)/(C150+R145)),"")</f>
        <v/>
      </c>
      <c r="P150" s="15" t="str">
        <f>IF(C150,SUM(K150:O150),"")</f>
        <v/>
      </c>
      <c r="Q150" s="17"/>
      <c r="R150" s="17"/>
      <c r="S150" s="17"/>
      <c r="T150" s="32" t="str">
        <f t="shared" si="45"/>
        <v/>
      </c>
      <c r="U150" s="1"/>
      <c r="V150" s="1"/>
    </row>
    <row r="151" spans="1:22" ht="15" thickBot="1">
      <c r="A151" s="33" t="s">
        <v>45</v>
      </c>
      <c r="B151" s="26" t="s">
        <v>37</v>
      </c>
      <c r="C151" s="1" t="s">
        <v>9</v>
      </c>
      <c r="D151" s="12" t="s">
        <v>28</v>
      </c>
      <c r="E151" s="12" t="s">
        <v>266</v>
      </c>
      <c r="F151" s="11" t="s">
        <v>40</v>
      </c>
      <c r="G151" s="12" t="s">
        <v>29</v>
      </c>
      <c r="H151" s="12" t="s">
        <v>23</v>
      </c>
      <c r="I151" s="12" t="s">
        <v>24</v>
      </c>
      <c r="J151" s="12" t="s">
        <v>25</v>
      </c>
      <c r="K151" s="11" t="s">
        <v>19</v>
      </c>
      <c r="L151" s="12" t="s">
        <v>26</v>
      </c>
      <c r="M151" s="12" t="s">
        <v>20</v>
      </c>
      <c r="N151" s="12" t="s">
        <v>21</v>
      </c>
      <c r="O151" s="12" t="s">
        <v>22</v>
      </c>
      <c r="P151" s="13" t="s">
        <v>27</v>
      </c>
      <c r="Q151" s="85" t="s">
        <v>42</v>
      </c>
      <c r="R151" s="85"/>
      <c r="S151" s="85"/>
      <c r="T151" s="12" t="s">
        <v>51</v>
      </c>
      <c r="U151" s="37" t="s">
        <v>45</v>
      </c>
      <c r="V151" s="38" t="s">
        <v>48</v>
      </c>
    </row>
    <row r="152" spans="1:22">
      <c r="A152" s="40"/>
      <c r="B152" s="27" t="s">
        <v>30</v>
      </c>
      <c r="C152" s="8"/>
      <c r="D152" s="1" t="str">
        <f>IF(C152,C152+Q141,"")</f>
        <v/>
      </c>
      <c r="E152" s="72" t="str">
        <f>IF(C152,C152/D152,"")</f>
        <v/>
      </c>
      <c r="F152" s="14" t="str">
        <f>IF(AND(C152&lt;&gt;"",N139&lt;&gt;""),(M141/F141*E139+M142/F142*D139)/(C152+U141),"")</f>
        <v/>
      </c>
      <c r="G152" s="1" t="str">
        <f>IF(C152,IF(AND(F141&lt;&gt;0,C139&lt;&gt;0),M142,M142/F142*D139)/(C152+U142),"")</f>
        <v/>
      </c>
      <c r="H152" s="1" t="str">
        <f>IF(C152,(M143)/(C152+U143),"")</f>
        <v/>
      </c>
      <c r="I152" s="1" t="str">
        <f>IF(C152,(M144)/(C152+U144),"")</f>
        <v/>
      </c>
      <c r="J152" s="1" t="str">
        <f>IF(C152,(M145)/(C152+U145),"")</f>
        <v/>
      </c>
      <c r="K152" s="14" t="str">
        <f>IF(AND(C152&lt;&gt;"",N139&lt;&gt;""),9.8*N139*LN((C152+U141)/(C152+V141)),"")</f>
        <v/>
      </c>
      <c r="L152" s="1" t="str">
        <f>IF(C152,9.8*F142*LN((C152+U142)/(C152+V142)),"")</f>
        <v/>
      </c>
      <c r="M152" s="1" t="str">
        <f>IF(C152,9.8*F143*LN((C152+U143)/(C152+V143)),"")</f>
        <v/>
      </c>
      <c r="N152" s="1" t="str">
        <f>IF(C152,9.8*F144*LN((C152+U144)/(C152+V144)),"")</f>
        <v/>
      </c>
      <c r="O152" s="1" t="str">
        <f>IF(C152,9.8*F145*LN((C152+U145)/(C152+V145)),"")</f>
        <v/>
      </c>
      <c r="P152" s="15" t="str">
        <f>IF(C152,SUM(K152:O152),"")</f>
        <v/>
      </c>
      <c r="Q152" s="1"/>
      <c r="R152" s="1"/>
      <c r="S152" s="1"/>
      <c r="T152" s="32" t="str">
        <f>IF(OR(F152&lt;1,AND(F152="",G152&lt;1)),"起飞推重比不得小于0，空天飞机除外","")</f>
        <v/>
      </c>
      <c r="U152" s="1"/>
      <c r="V152" s="1"/>
    </row>
    <row r="153" spans="1:22">
      <c r="A153" s="47"/>
      <c r="B153" s="27" t="s">
        <v>31</v>
      </c>
      <c r="C153" s="9"/>
      <c r="D153" s="1" t="str">
        <f>IF(C153,C153+Q141,"")</f>
        <v/>
      </c>
      <c r="E153" s="72" t="str">
        <f t="shared" ref="E153:E155" si="46">IF(C153,C153/D153,"")</f>
        <v/>
      </c>
      <c r="F153" s="14" t="str">
        <f>IF(AND(C153&lt;&gt;"",N139&lt;&gt;""),(M141/F141*E139+M142/F142*D139)/(C153+U141),"")</f>
        <v/>
      </c>
      <c r="G153" s="1" t="str">
        <f>IF(C153,IF(AND(F141&lt;&gt;0,C139&lt;&gt;0),M142,M142/F142*D139)/(C153+U142),"")</f>
        <v/>
      </c>
      <c r="H153" s="1" t="str">
        <f>IF(C153,(M143)/(C153+U143),"")</f>
        <v/>
      </c>
      <c r="I153" s="1" t="str">
        <f>IF(C153,(M144)/(C153+U144),"")</f>
        <v/>
      </c>
      <c r="J153" s="1" t="str">
        <f>IF(C153,(M145)/(C153+U145),"")</f>
        <v/>
      </c>
      <c r="K153" s="14" t="str">
        <f>IF(AND(C153&lt;&gt;"",N139&lt;&gt;""),9.8*N139*LN((C153+U141)/(C153+V141)),"")</f>
        <v/>
      </c>
      <c r="L153" s="1" t="str">
        <f>IF(C153,9.8*F142*LN((C153+U142)/(C153+V142)),"")</f>
        <v/>
      </c>
      <c r="M153" s="1" t="str">
        <f>IF(C153,9.8*F143*LN((C153+U143)/(C153+V143)),"")</f>
        <v/>
      </c>
      <c r="N153" s="1" t="str">
        <f>IF(C153,9.8*F144*LN((C153+U144)/(C153+V144)),"")</f>
        <v/>
      </c>
      <c r="O153" s="1" t="str">
        <f>IF(C153,9.8*F145*LN((C153+U145)/(C153+V145)),"")</f>
        <v/>
      </c>
      <c r="P153" s="15" t="str">
        <f>IF(C153,SUM(K153:O153),"")</f>
        <v/>
      </c>
      <c r="Q153" s="1"/>
      <c r="R153" s="1"/>
      <c r="S153" s="1"/>
      <c r="T153" s="32" t="str">
        <f t="shared" ref="T153:T155" si="47">IF(OR(F153&lt;1,AND(F153="",G153&lt;1)),"起飞推重比不得小于0，空天飞机除外","")</f>
        <v/>
      </c>
      <c r="U153" s="1"/>
      <c r="V153" s="1"/>
    </row>
    <row r="154" spans="1:22">
      <c r="A154" s="47"/>
      <c r="B154" s="27" t="s">
        <v>32</v>
      </c>
      <c r="C154" s="9"/>
      <c r="D154" s="1" t="str">
        <f>IF(C154,C154+Q141,"")</f>
        <v/>
      </c>
      <c r="E154" s="72" t="str">
        <f t="shared" si="46"/>
        <v/>
      </c>
      <c r="F154" s="14" t="str">
        <f>IF(AND(C154&lt;&gt;"",N139&lt;&gt;""),(M141/F141*E139+M142/F142*D139)/(C154+U141),"")</f>
        <v/>
      </c>
      <c r="G154" s="1" t="str">
        <f>IF(C154,IF(AND(F141&lt;&gt;0,C139&lt;&gt;0),M142,M142/F142*D139)/(C154+U142),"")</f>
        <v/>
      </c>
      <c r="H154" s="1" t="str">
        <f>IF(C154,(M143)/(C154+U143),"")</f>
        <v/>
      </c>
      <c r="I154" s="1" t="str">
        <f>IF(C154,(M144)/(C154+U144),"")</f>
        <v/>
      </c>
      <c r="J154" s="1" t="str">
        <f>IF(C154,(M145)/(C154+U145),"")</f>
        <v/>
      </c>
      <c r="K154" s="14" t="str">
        <f>IF(AND(C154&lt;&gt;"",N139&lt;&gt;""),9.8*N139*LN((C154+U141)/(C154+V141)),"")</f>
        <v/>
      </c>
      <c r="L154" s="1" t="str">
        <f>IF(C154,9.8*F142*LN((C154+U142)/(C154+V142)),"")</f>
        <v/>
      </c>
      <c r="M154" s="1" t="str">
        <f>IF(C154,9.8*F143*LN((C154+U143)/(C154+V143)),"")</f>
        <v/>
      </c>
      <c r="N154" s="1" t="str">
        <f>IF(C154,9.8*F144*LN((C154+U144)/(C154+V144)),"")</f>
        <v/>
      </c>
      <c r="O154" s="1" t="str">
        <f>IF(C154,9.8*F145*LN((C154+U145)/(C154+V145)),"")</f>
        <v/>
      </c>
      <c r="P154" s="15" t="str">
        <f>IF(C154,SUM(K154:O154),"")</f>
        <v/>
      </c>
      <c r="Q154" s="1"/>
      <c r="R154" s="1"/>
      <c r="S154" s="1"/>
      <c r="T154" s="32" t="str">
        <f t="shared" si="47"/>
        <v/>
      </c>
      <c r="U154" s="1"/>
      <c r="V154" s="1"/>
    </row>
    <row r="155" spans="1:22" ht="15" thickBot="1">
      <c r="A155" s="48" t="s">
        <v>46</v>
      </c>
      <c r="B155" s="49" t="s">
        <v>33</v>
      </c>
      <c r="C155" s="50"/>
      <c r="D155" s="25" t="str">
        <f>IF(C155,C155+Q141,"")</f>
        <v/>
      </c>
      <c r="E155" s="73" t="str">
        <f t="shared" si="46"/>
        <v/>
      </c>
      <c r="F155" s="70" t="str">
        <f>IF(AND(C155&lt;&gt;"",N139&lt;&gt;""),(M141/F141*E139+M142/F142*D139)/(C155+U141),"")</f>
        <v/>
      </c>
      <c r="G155" s="25" t="str">
        <f>IF(C155,IF(AND(F141&lt;&gt;0,C139&lt;&gt;0),M142,M142/F142*D139)/(C155+U142),"")</f>
        <v/>
      </c>
      <c r="H155" s="25" t="str">
        <f>IF(C155,(M143)/(C155+U143),"")</f>
        <v/>
      </c>
      <c r="I155" s="25" t="str">
        <f>IF(C155,(M144)/(C155+U144),"")</f>
        <v/>
      </c>
      <c r="J155" s="25" t="str">
        <f>IF(C155,(M145)/(C155+U145),"")</f>
        <v/>
      </c>
      <c r="K155" s="70" t="str">
        <f>IF(AND(C155&lt;&gt;"",N139&lt;&gt;""),9.8*N139*LN((C155+U141)/(C155+V141)),"")</f>
        <v/>
      </c>
      <c r="L155" s="25" t="str">
        <f>IF(C155,9.8*F142*LN((C155+U142)/(C155+V142)),"")</f>
        <v/>
      </c>
      <c r="M155" s="25" t="str">
        <f>IF(C155,9.8*F143*LN((C155+U143)/(C155+V143)),"")</f>
        <v/>
      </c>
      <c r="N155" s="25" t="str">
        <f>IF(C155,9.8*F144*LN((C155+U144)/(C155+V144)),"")</f>
        <v/>
      </c>
      <c r="O155" s="25" t="str">
        <f>IF(C155,9.8*F145*LN((C155+U145)/(C155+V145)),"")</f>
        <v/>
      </c>
      <c r="P155" s="71" t="str">
        <f>IF(C155,SUM(K155:O155),"")</f>
        <v/>
      </c>
      <c r="Q155" s="25"/>
      <c r="R155" s="25"/>
      <c r="S155" s="25"/>
      <c r="T155" s="51" t="str">
        <f t="shared" si="47"/>
        <v/>
      </c>
      <c r="U155" s="25"/>
      <c r="V155" s="25"/>
    </row>
  </sheetData>
  <mergeCells count="67">
    <mergeCell ref="D5:E5"/>
    <mergeCell ref="I5:K5"/>
    <mergeCell ref="M5:O5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P6:R6"/>
    <mergeCell ref="S6:V6"/>
    <mergeCell ref="Q13:S13"/>
    <mergeCell ref="Q18:S18"/>
    <mergeCell ref="D24:E24"/>
    <mergeCell ref="I24:K24"/>
    <mergeCell ref="M24:O24"/>
    <mergeCell ref="P25:R25"/>
    <mergeCell ref="S25:V25"/>
    <mergeCell ref="Q32:S32"/>
    <mergeCell ref="Q37:S37"/>
    <mergeCell ref="D43:E43"/>
    <mergeCell ref="I43:K43"/>
    <mergeCell ref="M43:O43"/>
    <mergeCell ref="P44:R44"/>
    <mergeCell ref="S44:V44"/>
    <mergeCell ref="Q51:S51"/>
    <mergeCell ref="Q56:S56"/>
    <mergeCell ref="D62:E62"/>
    <mergeCell ref="I62:K62"/>
    <mergeCell ref="M62:O62"/>
    <mergeCell ref="P63:R63"/>
    <mergeCell ref="S63:V63"/>
    <mergeCell ref="Q70:S70"/>
    <mergeCell ref="Q75:S75"/>
    <mergeCell ref="D81:E81"/>
    <mergeCell ref="I81:K81"/>
    <mergeCell ref="M81:O81"/>
    <mergeCell ref="P82:R82"/>
    <mergeCell ref="S82:V82"/>
    <mergeCell ref="Q89:S89"/>
    <mergeCell ref="Q94:S94"/>
    <mergeCell ref="D100:E100"/>
    <mergeCell ref="I100:K100"/>
    <mergeCell ref="M100:O100"/>
    <mergeCell ref="D138:E138"/>
    <mergeCell ref="I138:K138"/>
    <mergeCell ref="M138:O138"/>
    <mergeCell ref="P101:R101"/>
    <mergeCell ref="S101:V101"/>
    <mergeCell ref="Q108:S108"/>
    <mergeCell ref="Q113:S113"/>
    <mergeCell ref="D119:E119"/>
    <mergeCell ref="I119:K119"/>
    <mergeCell ref="M119:O119"/>
    <mergeCell ref="P139:R139"/>
    <mergeCell ref="S139:V139"/>
    <mergeCell ref="Q146:S146"/>
    <mergeCell ref="Q151:S151"/>
    <mergeCell ref="P120:R120"/>
    <mergeCell ref="S120:V120"/>
    <mergeCell ref="Q127:S127"/>
    <mergeCell ref="Q132:S132"/>
  </mergeCells>
  <phoneticPr fontId="1" type="noConversion"/>
  <conditionalFormatting sqref="P9">
    <cfRule type="expression" dxfId="362" priority="121">
      <formula>P9&lt;P8</formula>
    </cfRule>
  </conditionalFormatting>
  <conditionalFormatting sqref="T9">
    <cfRule type="expression" dxfId="361" priority="120">
      <formula>T9&lt;T8</formula>
    </cfRule>
  </conditionalFormatting>
  <conditionalFormatting sqref="L8:V12 D14:D17 F14:J17 D19:D22 F19:J22">
    <cfRule type="expression" dxfId="360" priority="119">
      <formula>ROUND(D8,3)&lt;&gt;D8</formula>
    </cfRule>
  </conditionalFormatting>
  <conditionalFormatting sqref="K14:P17 K19:P22">
    <cfRule type="expression" dxfId="359" priority="118">
      <formula>ROUND(K14,1)&lt;&gt;K14</formula>
    </cfRule>
  </conditionalFormatting>
  <conditionalFormatting sqref="L8:V12 D14:D17 F14:P17 D19:D22 F19:P22">
    <cfRule type="expression" dxfId="358" priority="117">
      <formula>D8=0</formula>
    </cfRule>
  </conditionalFormatting>
  <conditionalFormatting sqref="F14:F17 F19:F22">
    <cfRule type="expression" dxfId="357" priority="116">
      <formula>AND(T14&lt;&gt;"",F14&lt;&gt;"")</formula>
    </cfRule>
  </conditionalFormatting>
  <conditionalFormatting sqref="G14:G17 G19:G22">
    <cfRule type="expression" dxfId="356" priority="115">
      <formula>AND(T14&lt;&gt;"",F14="")</formula>
    </cfRule>
  </conditionalFormatting>
  <conditionalFormatting sqref="L6">
    <cfRule type="expression" dxfId="355" priority="109">
      <formula>ROUND(L6,3)&lt;&gt;L6</formula>
    </cfRule>
    <cfRule type="expression" dxfId="354" priority="114">
      <formula>L6=0</formula>
    </cfRule>
  </conditionalFormatting>
  <conditionalFormatting sqref="Q8">
    <cfRule type="expression" dxfId="353" priority="113">
      <formula>NOT(AND(F8&lt;&gt;0,C6&lt;&gt;0))</formula>
    </cfRule>
  </conditionalFormatting>
  <conditionalFormatting sqref="R8">
    <cfRule type="expression" dxfId="352" priority="112">
      <formula>NOT(AND(F8&lt;&gt;0,C6&lt;&gt;0))</formula>
    </cfRule>
  </conditionalFormatting>
  <conditionalFormatting sqref="U8">
    <cfRule type="expression" dxfId="351" priority="111">
      <formula>NOT(AND(F8&lt;&gt;0,C6&lt;&gt;0))</formula>
    </cfRule>
  </conditionalFormatting>
  <conditionalFormatting sqref="V8">
    <cfRule type="expression" dxfId="350" priority="110">
      <formula>NOT(AND(F8&lt;&gt;0,C6&lt;&gt;0))</formula>
    </cfRule>
  </conditionalFormatting>
  <conditionalFormatting sqref="H6">
    <cfRule type="expression" dxfId="349" priority="108">
      <formula>ROUND(IF(H6="隐藏水印。作者：战犬金龟（贴吧/B站）",1,0),1)</formula>
    </cfRule>
  </conditionalFormatting>
  <conditionalFormatting sqref="N6">
    <cfRule type="expression" dxfId="348" priority="107">
      <formula>ROUND(N6,1)&lt;&gt;N6</formula>
    </cfRule>
  </conditionalFormatting>
  <conditionalFormatting sqref="P28">
    <cfRule type="expression" dxfId="347" priority="106">
      <formula>P28&lt;P27</formula>
    </cfRule>
  </conditionalFormatting>
  <conditionalFormatting sqref="T28">
    <cfRule type="expression" dxfId="346" priority="105">
      <formula>T28&lt;T27</formula>
    </cfRule>
  </conditionalFormatting>
  <conditionalFormatting sqref="L27:V31 D33:D36 F33:J36 D38:D41 F38:J41">
    <cfRule type="expression" dxfId="345" priority="104">
      <formula>ROUND(D27,3)&lt;&gt;D27</formula>
    </cfRule>
  </conditionalFormatting>
  <conditionalFormatting sqref="K33:P36 K38:P41">
    <cfRule type="expression" dxfId="344" priority="103">
      <formula>ROUND(K33,1)&lt;&gt;K33</formula>
    </cfRule>
  </conditionalFormatting>
  <conditionalFormatting sqref="L27:V31 D33:D36 F33:P36 D38:D41 F38:P41">
    <cfRule type="expression" dxfId="343" priority="102">
      <formula>D27=0</formula>
    </cfRule>
  </conditionalFormatting>
  <conditionalFormatting sqref="F33:F36 F38:F41">
    <cfRule type="expression" dxfId="342" priority="101">
      <formula>AND(T33&lt;&gt;"",F33&lt;&gt;"")</formula>
    </cfRule>
  </conditionalFormatting>
  <conditionalFormatting sqref="G33:G36 G38:G41">
    <cfRule type="expression" dxfId="341" priority="100">
      <formula>AND(T33&lt;&gt;"",F33="")</formula>
    </cfRule>
  </conditionalFormatting>
  <conditionalFormatting sqref="L25">
    <cfRule type="expression" dxfId="340" priority="94">
      <formula>ROUND(L25,3)&lt;&gt;L25</formula>
    </cfRule>
    <cfRule type="expression" dxfId="339" priority="99">
      <formula>L25=0</formula>
    </cfRule>
  </conditionalFormatting>
  <conditionalFormatting sqref="Q27">
    <cfRule type="expression" dxfId="338" priority="98">
      <formula>NOT(AND(F27&lt;&gt;0,C25&lt;&gt;0))</formula>
    </cfRule>
  </conditionalFormatting>
  <conditionalFormatting sqref="R27">
    <cfRule type="expression" dxfId="337" priority="97">
      <formula>NOT(AND(F27&lt;&gt;0,C25&lt;&gt;0))</formula>
    </cfRule>
  </conditionalFormatting>
  <conditionalFormatting sqref="U27">
    <cfRule type="expression" dxfId="336" priority="96">
      <formula>NOT(AND(F27&lt;&gt;0,C25&lt;&gt;0))</formula>
    </cfRule>
  </conditionalFormatting>
  <conditionalFormatting sqref="V27">
    <cfRule type="expression" dxfId="335" priority="95">
      <formula>NOT(AND(F27&lt;&gt;0,C25&lt;&gt;0))</formula>
    </cfRule>
  </conditionalFormatting>
  <conditionalFormatting sqref="H25">
    <cfRule type="expression" dxfId="334" priority="93">
      <formula>ROUND(IF(H25="隐藏水印。作者：战犬金龟（贴吧/B站）",1,0),1)</formula>
    </cfRule>
  </conditionalFormatting>
  <conditionalFormatting sqref="N25">
    <cfRule type="expression" dxfId="333" priority="92">
      <formula>ROUND(N25,1)&lt;&gt;N25</formula>
    </cfRule>
  </conditionalFormatting>
  <conditionalFormatting sqref="P47">
    <cfRule type="expression" dxfId="332" priority="91">
      <formula>P47&lt;P46</formula>
    </cfRule>
  </conditionalFormatting>
  <conditionalFormatting sqref="T47">
    <cfRule type="expression" dxfId="331" priority="90">
      <formula>T47&lt;T46</formula>
    </cfRule>
  </conditionalFormatting>
  <conditionalFormatting sqref="L46:V50 D52:D55 F52:J55 D57:D60 F57:J60">
    <cfRule type="expression" dxfId="330" priority="89">
      <formula>ROUND(D46,3)&lt;&gt;D46</formula>
    </cfRule>
  </conditionalFormatting>
  <conditionalFormatting sqref="K52:P55 K57:P60">
    <cfRule type="expression" dxfId="329" priority="88">
      <formula>ROUND(K52,1)&lt;&gt;K52</formula>
    </cfRule>
  </conditionalFormatting>
  <conditionalFormatting sqref="L46:V50 D52:D55 F52:P55 D57:D60 F57:P60">
    <cfRule type="expression" dxfId="328" priority="87">
      <formula>D46=0</formula>
    </cfRule>
  </conditionalFormatting>
  <conditionalFormatting sqref="F52:F55 F57:F60">
    <cfRule type="expression" dxfId="327" priority="86">
      <formula>AND(T52&lt;&gt;"",F52&lt;&gt;"")</formula>
    </cfRule>
  </conditionalFormatting>
  <conditionalFormatting sqref="G52:G55 G57:G60">
    <cfRule type="expression" dxfId="326" priority="85">
      <formula>AND(T52&lt;&gt;"",F52="")</formula>
    </cfRule>
  </conditionalFormatting>
  <conditionalFormatting sqref="L44">
    <cfRule type="expression" dxfId="325" priority="79">
      <formula>ROUND(L44,3)&lt;&gt;L44</formula>
    </cfRule>
    <cfRule type="expression" dxfId="324" priority="84">
      <formula>L44=0</formula>
    </cfRule>
  </conditionalFormatting>
  <conditionalFormatting sqref="Q46">
    <cfRule type="expression" dxfId="323" priority="83">
      <formula>NOT(AND(F46&lt;&gt;0,C44&lt;&gt;0))</formula>
    </cfRule>
  </conditionalFormatting>
  <conditionalFormatting sqref="R46">
    <cfRule type="expression" dxfId="322" priority="82">
      <formula>NOT(AND(F46&lt;&gt;0,C44&lt;&gt;0))</formula>
    </cfRule>
  </conditionalFormatting>
  <conditionalFormatting sqref="U46">
    <cfRule type="expression" dxfId="321" priority="81">
      <formula>NOT(AND(F46&lt;&gt;0,C44&lt;&gt;0))</formula>
    </cfRule>
  </conditionalFormatting>
  <conditionalFormatting sqref="V46">
    <cfRule type="expression" dxfId="320" priority="80">
      <formula>NOT(AND(F46&lt;&gt;0,C44&lt;&gt;0))</formula>
    </cfRule>
  </conditionalFormatting>
  <conditionalFormatting sqref="H44">
    <cfRule type="expression" dxfId="319" priority="78">
      <formula>ROUND(IF(H44="隐藏水印。作者：战犬金龟（贴吧/B站）",1,0),1)</formula>
    </cfRule>
  </conditionalFormatting>
  <conditionalFormatting sqref="N44">
    <cfRule type="expression" dxfId="318" priority="77">
      <formula>ROUND(N44,1)&lt;&gt;N44</formula>
    </cfRule>
  </conditionalFormatting>
  <conditionalFormatting sqref="P66">
    <cfRule type="expression" dxfId="317" priority="76">
      <formula>P66&lt;P65</formula>
    </cfRule>
  </conditionalFormatting>
  <conditionalFormatting sqref="T66">
    <cfRule type="expression" dxfId="316" priority="75">
      <formula>T66&lt;T65</formula>
    </cfRule>
  </conditionalFormatting>
  <conditionalFormatting sqref="L65:V69 D71:D74 F71:J74 D76:D79 F76:J79">
    <cfRule type="expression" dxfId="315" priority="74">
      <formula>ROUND(D65,3)&lt;&gt;D65</formula>
    </cfRule>
  </conditionalFormatting>
  <conditionalFormatting sqref="K71:P74 K76:P79">
    <cfRule type="expression" dxfId="314" priority="73">
      <formula>ROUND(K71,1)&lt;&gt;K71</formula>
    </cfRule>
  </conditionalFormatting>
  <conditionalFormatting sqref="L65:V69 D71:D74 F71:P74 D76:D79 F76:P79">
    <cfRule type="expression" dxfId="313" priority="72">
      <formula>D65=0</formula>
    </cfRule>
  </conditionalFormatting>
  <conditionalFormatting sqref="F71:F74 F76:F79">
    <cfRule type="expression" dxfId="312" priority="71">
      <formula>AND(T71&lt;&gt;"",F71&lt;&gt;"")</formula>
    </cfRule>
  </conditionalFormatting>
  <conditionalFormatting sqref="G71:G74 G76:G79">
    <cfRule type="expression" dxfId="311" priority="70">
      <formula>AND(T71&lt;&gt;"",F71="")</formula>
    </cfRule>
  </conditionalFormatting>
  <conditionalFormatting sqref="L63">
    <cfRule type="expression" dxfId="310" priority="64">
      <formula>ROUND(L63,3)&lt;&gt;L63</formula>
    </cfRule>
    <cfRule type="expression" dxfId="309" priority="69">
      <formula>L63=0</formula>
    </cfRule>
  </conditionalFormatting>
  <conditionalFormatting sqref="Q65">
    <cfRule type="expression" dxfId="308" priority="68">
      <formula>NOT(AND(F65&lt;&gt;0,C63&lt;&gt;0))</formula>
    </cfRule>
  </conditionalFormatting>
  <conditionalFormatting sqref="R65">
    <cfRule type="expression" dxfId="307" priority="67">
      <formula>NOT(AND(F65&lt;&gt;0,C63&lt;&gt;0))</formula>
    </cfRule>
  </conditionalFormatting>
  <conditionalFormatting sqref="U65">
    <cfRule type="expression" dxfId="306" priority="66">
      <formula>NOT(AND(F65&lt;&gt;0,C63&lt;&gt;0))</formula>
    </cfRule>
  </conditionalFormatting>
  <conditionalFormatting sqref="V65">
    <cfRule type="expression" dxfId="305" priority="65">
      <formula>NOT(AND(F65&lt;&gt;0,C63&lt;&gt;0))</formula>
    </cfRule>
  </conditionalFormatting>
  <conditionalFormatting sqref="H63">
    <cfRule type="expression" dxfId="304" priority="63">
      <formula>ROUND(IF(H63="隐藏水印。作者：战犬金龟（贴吧/B站）",1,0),1)</formula>
    </cfRule>
  </conditionalFormatting>
  <conditionalFormatting sqref="N63">
    <cfRule type="expression" dxfId="303" priority="62">
      <formula>ROUND(N63,1)&lt;&gt;N63</formula>
    </cfRule>
  </conditionalFormatting>
  <conditionalFormatting sqref="P85">
    <cfRule type="expression" dxfId="302" priority="61">
      <formula>P85&lt;P84</formula>
    </cfRule>
  </conditionalFormatting>
  <conditionalFormatting sqref="T85">
    <cfRule type="expression" dxfId="301" priority="60">
      <formula>T85&lt;T84</formula>
    </cfRule>
  </conditionalFormatting>
  <conditionalFormatting sqref="L84:V88 D90:D93 F90:J93 D95:D98 F95:J98">
    <cfRule type="expression" dxfId="300" priority="59">
      <formula>ROUND(D84,3)&lt;&gt;D84</formula>
    </cfRule>
  </conditionalFormatting>
  <conditionalFormatting sqref="K90:P93 K95:P98">
    <cfRule type="expression" dxfId="299" priority="58">
      <formula>ROUND(K90,1)&lt;&gt;K90</formula>
    </cfRule>
  </conditionalFormatting>
  <conditionalFormatting sqref="L84:V88 D90:D93 F90:P93 D95:D98 F95:P98">
    <cfRule type="expression" dxfId="298" priority="57">
      <formula>D84=0</formula>
    </cfRule>
  </conditionalFormatting>
  <conditionalFormatting sqref="F90:F93 F95:F98">
    <cfRule type="expression" dxfId="297" priority="56">
      <formula>AND(T90&lt;&gt;"",F90&lt;&gt;"")</formula>
    </cfRule>
  </conditionalFormatting>
  <conditionalFormatting sqref="G90:G93 G95:G98">
    <cfRule type="expression" dxfId="296" priority="55">
      <formula>AND(T90&lt;&gt;"",F90="")</formula>
    </cfRule>
  </conditionalFormatting>
  <conditionalFormatting sqref="L82">
    <cfRule type="expression" dxfId="295" priority="49">
      <formula>ROUND(L82,3)&lt;&gt;L82</formula>
    </cfRule>
    <cfRule type="expression" dxfId="294" priority="54">
      <formula>L82=0</formula>
    </cfRule>
  </conditionalFormatting>
  <conditionalFormatting sqref="Q84">
    <cfRule type="expression" dxfId="293" priority="53">
      <formula>NOT(AND(F84&lt;&gt;0,C82&lt;&gt;0))</formula>
    </cfRule>
  </conditionalFormatting>
  <conditionalFormatting sqref="R84">
    <cfRule type="expression" dxfId="292" priority="52">
      <formula>NOT(AND(F84&lt;&gt;0,C82&lt;&gt;0))</formula>
    </cfRule>
  </conditionalFormatting>
  <conditionalFormatting sqref="U84">
    <cfRule type="expression" dxfId="291" priority="51">
      <formula>NOT(AND(F84&lt;&gt;0,C82&lt;&gt;0))</formula>
    </cfRule>
  </conditionalFormatting>
  <conditionalFormatting sqref="V84">
    <cfRule type="expression" dxfId="290" priority="50">
      <formula>NOT(AND(F84&lt;&gt;0,C82&lt;&gt;0))</formula>
    </cfRule>
  </conditionalFormatting>
  <conditionalFormatting sqref="H82">
    <cfRule type="expression" dxfId="289" priority="48">
      <formula>ROUND(IF(H82="隐藏水印。作者：战犬金龟（贴吧/B站）",1,0),1)</formula>
    </cfRule>
  </conditionalFormatting>
  <conditionalFormatting sqref="N82">
    <cfRule type="expression" dxfId="288" priority="47">
      <formula>ROUND(N82,1)&lt;&gt;N82</formula>
    </cfRule>
  </conditionalFormatting>
  <conditionalFormatting sqref="P104">
    <cfRule type="expression" dxfId="287" priority="46">
      <formula>P104&lt;P103</formula>
    </cfRule>
  </conditionalFormatting>
  <conditionalFormatting sqref="T104">
    <cfRule type="expression" dxfId="286" priority="45">
      <formula>T104&lt;T103</formula>
    </cfRule>
  </conditionalFormatting>
  <conditionalFormatting sqref="L103:V107 D109:D112 F109:J112 D114:D117 F114:J117">
    <cfRule type="expression" dxfId="285" priority="44">
      <formula>ROUND(D103,3)&lt;&gt;D103</formula>
    </cfRule>
  </conditionalFormatting>
  <conditionalFormatting sqref="K109:P112 K114:P117">
    <cfRule type="expression" dxfId="284" priority="43">
      <formula>ROUND(K109,1)&lt;&gt;K109</formula>
    </cfRule>
  </conditionalFormatting>
  <conditionalFormatting sqref="L103:V107 D109:D112 F109:P112 D114:D117 F114:P117">
    <cfRule type="expression" dxfId="283" priority="42">
      <formula>D103=0</formula>
    </cfRule>
  </conditionalFormatting>
  <conditionalFormatting sqref="F109:F112 F114:F117">
    <cfRule type="expression" dxfId="282" priority="41">
      <formula>AND(T109&lt;&gt;"",F109&lt;&gt;"")</formula>
    </cfRule>
  </conditionalFormatting>
  <conditionalFormatting sqref="G109:G112 G114:G117">
    <cfRule type="expression" dxfId="281" priority="40">
      <formula>AND(T109&lt;&gt;"",F109="")</formula>
    </cfRule>
  </conditionalFormatting>
  <conditionalFormatting sqref="L101">
    <cfRule type="expression" dxfId="280" priority="34">
      <formula>ROUND(L101,3)&lt;&gt;L101</formula>
    </cfRule>
    <cfRule type="expression" dxfId="279" priority="39">
      <formula>L101=0</formula>
    </cfRule>
  </conditionalFormatting>
  <conditionalFormatting sqref="Q103">
    <cfRule type="expression" dxfId="278" priority="38">
      <formula>NOT(AND(F103&lt;&gt;0,C101&lt;&gt;0))</formula>
    </cfRule>
  </conditionalFormatting>
  <conditionalFormatting sqref="R103">
    <cfRule type="expression" dxfId="277" priority="37">
      <formula>NOT(AND(F103&lt;&gt;0,C101&lt;&gt;0))</formula>
    </cfRule>
  </conditionalFormatting>
  <conditionalFormatting sqref="U103">
    <cfRule type="expression" dxfId="276" priority="36">
      <formula>NOT(AND(F103&lt;&gt;0,C101&lt;&gt;0))</formula>
    </cfRule>
  </conditionalFormatting>
  <conditionalFormatting sqref="V103">
    <cfRule type="expression" dxfId="275" priority="35">
      <formula>NOT(AND(F103&lt;&gt;0,C101&lt;&gt;0))</formula>
    </cfRule>
  </conditionalFormatting>
  <conditionalFormatting sqref="H101">
    <cfRule type="expression" dxfId="274" priority="33">
      <formula>ROUND(IF(H101="隐藏水印。作者：战犬金龟（贴吧/B站）",1,0),1)</formula>
    </cfRule>
  </conditionalFormatting>
  <conditionalFormatting sqref="N101">
    <cfRule type="expression" dxfId="273" priority="32">
      <formula>ROUND(N101,1)&lt;&gt;N101</formula>
    </cfRule>
  </conditionalFormatting>
  <conditionalFormatting sqref="P123">
    <cfRule type="expression" dxfId="272" priority="31">
      <formula>P123&lt;P122</formula>
    </cfRule>
  </conditionalFormatting>
  <conditionalFormatting sqref="T123">
    <cfRule type="expression" dxfId="271" priority="30">
      <formula>T123&lt;T122</formula>
    </cfRule>
  </conditionalFormatting>
  <conditionalFormatting sqref="L122:V126 D128:D131 F128:J131 D133:D136 F133:J136">
    <cfRule type="expression" dxfId="270" priority="29">
      <formula>ROUND(D122,3)&lt;&gt;D122</formula>
    </cfRule>
  </conditionalFormatting>
  <conditionalFormatting sqref="K128:P131 K133:P136">
    <cfRule type="expression" dxfId="269" priority="28">
      <formula>ROUND(K128,1)&lt;&gt;K128</formula>
    </cfRule>
  </conditionalFormatting>
  <conditionalFormatting sqref="L122:V126 D128:D131 F128:P131 D133:D136 F133:P136">
    <cfRule type="expression" dxfId="268" priority="27">
      <formula>D122=0</formula>
    </cfRule>
  </conditionalFormatting>
  <conditionalFormatting sqref="F128:F131 F133:F136">
    <cfRule type="expression" dxfId="267" priority="26">
      <formula>AND(T128&lt;&gt;"",F128&lt;&gt;"")</formula>
    </cfRule>
  </conditionalFormatting>
  <conditionalFormatting sqref="G128:G131 G133:G136">
    <cfRule type="expression" dxfId="266" priority="25">
      <formula>AND(T128&lt;&gt;"",F128="")</formula>
    </cfRule>
  </conditionalFormatting>
  <conditionalFormatting sqref="L120">
    <cfRule type="expression" dxfId="265" priority="19">
      <formula>ROUND(L120,3)&lt;&gt;L120</formula>
    </cfRule>
    <cfRule type="expression" dxfId="264" priority="24">
      <formula>L120=0</formula>
    </cfRule>
  </conditionalFormatting>
  <conditionalFormatting sqref="Q122">
    <cfRule type="expression" dxfId="263" priority="23">
      <formula>NOT(AND(F122&lt;&gt;0,C120&lt;&gt;0))</formula>
    </cfRule>
  </conditionalFormatting>
  <conditionalFormatting sqref="R122">
    <cfRule type="expression" dxfId="262" priority="22">
      <formula>NOT(AND(F122&lt;&gt;0,C120&lt;&gt;0))</formula>
    </cfRule>
  </conditionalFormatting>
  <conditionalFormatting sqref="U122">
    <cfRule type="expression" dxfId="261" priority="21">
      <formula>NOT(AND(F122&lt;&gt;0,C120&lt;&gt;0))</formula>
    </cfRule>
  </conditionalFormatting>
  <conditionalFormatting sqref="V122">
    <cfRule type="expression" dxfId="260" priority="20">
      <formula>NOT(AND(F122&lt;&gt;0,C120&lt;&gt;0))</formula>
    </cfRule>
  </conditionalFormatting>
  <conditionalFormatting sqref="H120">
    <cfRule type="expression" dxfId="259" priority="18">
      <formula>ROUND(IF(H120="隐藏水印。作者：战犬金龟（贴吧/B站）",1,0),1)</formula>
    </cfRule>
  </conditionalFormatting>
  <conditionalFormatting sqref="N120">
    <cfRule type="expression" dxfId="258" priority="17">
      <formula>ROUND(N120,1)&lt;&gt;N120</formula>
    </cfRule>
  </conditionalFormatting>
  <conditionalFormatting sqref="P142">
    <cfRule type="expression" dxfId="257" priority="16">
      <formula>P142&lt;P141</formula>
    </cfRule>
  </conditionalFormatting>
  <conditionalFormatting sqref="T142">
    <cfRule type="expression" dxfId="256" priority="15">
      <formula>T142&lt;T141</formula>
    </cfRule>
  </conditionalFormatting>
  <conditionalFormatting sqref="L141:V145 D147:D150 F147:J150 D152:D155 F152:J155">
    <cfRule type="expression" dxfId="255" priority="14">
      <formula>ROUND(D141,3)&lt;&gt;D141</formula>
    </cfRule>
  </conditionalFormatting>
  <conditionalFormatting sqref="K147:P150 K152:P155">
    <cfRule type="expression" dxfId="254" priority="13">
      <formula>ROUND(K147,1)&lt;&gt;K147</formula>
    </cfRule>
  </conditionalFormatting>
  <conditionalFormatting sqref="L141:V145 D147:D150 F147:P150 D152:D155 F152:P155">
    <cfRule type="expression" dxfId="253" priority="12">
      <formula>D141=0</formula>
    </cfRule>
  </conditionalFormatting>
  <conditionalFormatting sqref="F147:F150 F152:F155">
    <cfRule type="expression" dxfId="252" priority="11">
      <formula>AND(T147&lt;&gt;"",F147&lt;&gt;"")</formula>
    </cfRule>
  </conditionalFormatting>
  <conditionalFormatting sqref="G147:G150 G152:G155">
    <cfRule type="expression" dxfId="251" priority="10">
      <formula>AND(T147&lt;&gt;"",F147="")</formula>
    </cfRule>
  </conditionalFormatting>
  <conditionalFormatting sqref="L139">
    <cfRule type="expression" dxfId="250" priority="4">
      <formula>ROUND(L139,3)&lt;&gt;L139</formula>
    </cfRule>
    <cfRule type="expression" dxfId="249" priority="9">
      <formula>L139=0</formula>
    </cfRule>
  </conditionalFormatting>
  <conditionalFormatting sqref="Q141">
    <cfRule type="expression" dxfId="248" priority="8">
      <formula>NOT(AND(F141&lt;&gt;0,C139&lt;&gt;0))</formula>
    </cfRule>
  </conditionalFormatting>
  <conditionalFormatting sqref="R141">
    <cfRule type="expression" dxfId="247" priority="7">
      <formula>NOT(AND(F141&lt;&gt;0,C139&lt;&gt;0))</formula>
    </cfRule>
  </conditionalFormatting>
  <conditionalFormatting sqref="U141">
    <cfRule type="expression" dxfId="246" priority="6">
      <formula>NOT(AND(F141&lt;&gt;0,C139&lt;&gt;0))</formula>
    </cfRule>
  </conditionalFormatting>
  <conditionalFormatting sqref="V141">
    <cfRule type="expression" dxfId="245" priority="5">
      <formula>NOT(AND(F141&lt;&gt;0,C139&lt;&gt;0))</formula>
    </cfRule>
  </conditionalFormatting>
  <conditionalFormatting sqref="H139">
    <cfRule type="expression" dxfId="244" priority="3">
      <formula>ROUND(IF(H139="隐藏水印。作者：战犬金龟（贴吧/B站）",1,0),1)</formula>
    </cfRule>
  </conditionalFormatting>
  <conditionalFormatting sqref="N139">
    <cfRule type="expression" dxfId="243" priority="2">
      <formula>ROUND(N139,1)&lt;&gt;N139</formula>
    </cfRule>
  </conditionalFormatting>
  <conditionalFormatting sqref="B3:W3">
    <cfRule type="expression" dxfId="242" priority="1">
      <formula>B3=0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workbookViewId="0">
      <selection activeCell="I8" sqref="I8"/>
    </sheetView>
  </sheetViews>
  <sheetFormatPr defaultRowHeight="14.4"/>
  <sheetData>
    <row r="1" spans="1:23">
      <c r="A1" s="57" t="s">
        <v>437</v>
      </c>
    </row>
    <row r="3" spans="1:23">
      <c r="A3" s="57" t="s">
        <v>300</v>
      </c>
      <c r="B3" s="92" t="str">
        <f ca="1">HYPERLINK("#A5",INDIRECT("A5"))</f>
        <v>云龙动力空天飞机</v>
      </c>
      <c r="C3" s="93"/>
      <c r="D3" s="92" t="str">
        <f ca="1">HYPERLINK("#A24",INDIRECT("A24"))</f>
        <v>云霄塔</v>
      </c>
      <c r="E3" s="93"/>
      <c r="F3" s="92" t="str">
        <f ca="1">HYPERLINK("#A43",INDIRECT("A43"))</f>
        <v>腾云工程</v>
      </c>
      <c r="G3" s="92"/>
      <c r="H3" s="92" t="str">
        <f ca="1">HYPERLINK("#A62",INDIRECT("A62"))</f>
        <v>冒险星</v>
      </c>
      <c r="I3" s="93"/>
      <c r="J3" s="92" t="str">
        <f ca="1">HYPERLINK("#A81",INDIRECT("A81"))</f>
        <v>MAKS空天飞机</v>
      </c>
      <c r="K3" s="93"/>
      <c r="L3" s="92">
        <f ca="1">HYPERLINK("#A100",INDIRECT("A100"))</f>
        <v>0</v>
      </c>
      <c r="M3" s="93"/>
      <c r="N3" s="92">
        <f ca="1">HYPERLINK("#A119",INDIRECT("A119"))</f>
        <v>0</v>
      </c>
      <c r="O3" s="93"/>
      <c r="P3" s="92">
        <f ca="1">HYPERLINK("#A138",INDIRECT("A138"))</f>
        <v>0</v>
      </c>
      <c r="Q3" s="93"/>
      <c r="R3" s="92">
        <f ca="1">HYPERLINK("#A157",INDIRECT("A157"))</f>
        <v>0</v>
      </c>
      <c r="S3" s="93"/>
      <c r="T3" s="92">
        <f ca="1">HYPERLINK("#A176",INDIRECT("A176"))</f>
        <v>0</v>
      </c>
      <c r="U3" s="93"/>
      <c r="V3" s="92">
        <f ca="1">HYPERLINK("#A195",INDIRECT("A195"))</f>
        <v>0</v>
      </c>
      <c r="W3" s="93"/>
    </row>
    <row r="4" spans="1:23" ht="15" thickBot="1"/>
    <row r="5" spans="1:23" ht="15" thickBot="1">
      <c r="A5" s="52" t="s">
        <v>438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439</v>
      </c>
      <c r="B6" s="39"/>
      <c r="C6" s="2">
        <v>0</v>
      </c>
      <c r="D6" s="2">
        <v>3600</v>
      </c>
      <c r="E6" s="2">
        <v>0</v>
      </c>
      <c r="F6" s="41"/>
      <c r="G6" s="42"/>
      <c r="H6" s="42"/>
      <c r="I6" s="24" t="s">
        <v>448</v>
      </c>
      <c r="J6" s="24"/>
      <c r="K6" s="24"/>
      <c r="L6" s="55">
        <f>IFERROR(IF(AND(F8&lt;&gt;0,C6&lt;&gt;0),M8/F8*E6+M9/F9*D6,M9/F9*D6),0)</f>
        <v>320.04000000000002</v>
      </c>
      <c r="M6" s="53" t="s">
        <v>45</v>
      </c>
      <c r="N6" s="17" t="str">
        <f>IF(AND(F8&lt;&gt;0,C6&lt;&gt;0),(M8+M9)/(M8/F8+M9/F9),"")</f>
        <v/>
      </c>
      <c r="O6" s="56" t="s">
        <v>46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60" t="str">
        <f>HYPERLINK(":\Reference\云龙动力.jpg","云龙动力.jpg")</f>
        <v>云龙动力.jpg</v>
      </c>
      <c r="J7" s="24"/>
      <c r="K7" s="24"/>
      <c r="L7" s="11" t="s">
        <v>6</v>
      </c>
      <c r="M7" s="12" t="s">
        <v>69</v>
      </c>
      <c r="N7" s="12" t="s">
        <v>15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16</v>
      </c>
      <c r="U7" s="1" t="s">
        <v>10</v>
      </c>
      <c r="V7" s="1" t="s">
        <v>11</v>
      </c>
    </row>
    <row r="8" spans="1:23">
      <c r="A8" s="40"/>
      <c r="B8" s="27" t="s">
        <v>3</v>
      </c>
      <c r="C8" s="3"/>
      <c r="D8" s="4"/>
      <c r="E8" s="4"/>
      <c r="F8" s="4"/>
      <c r="G8" s="19"/>
      <c r="H8" s="20"/>
      <c r="I8" s="60" t="str">
        <f>HYPERLINK(":\Reference\强预冷发动机新型热力循环布局及性能分析.png","强预冷发动机新型热力循环布局及性能分析.png")</f>
        <v>强预冷发动机新型热力循环布局及性能分析.png</v>
      </c>
      <c r="J8" s="24"/>
      <c r="K8" s="24"/>
      <c r="L8" s="14">
        <f>C8*C6</f>
        <v>0</v>
      </c>
      <c r="M8" s="1">
        <f>E8*C6</f>
        <v>0</v>
      </c>
      <c r="N8" s="1">
        <f>IF(D8,L8/D8,0)</f>
        <v>0</v>
      </c>
      <c r="O8" s="15">
        <f>L8-N8</f>
        <v>0</v>
      </c>
      <c r="P8" s="14">
        <f>IF(AND(F8&lt;&gt;0,C6&lt;&gt;0),O8/M8*F8/IF(G8,G8,1),0)</f>
        <v>0</v>
      </c>
      <c r="Q8" s="1">
        <f>SUM(L8:L12)</f>
        <v>460.8</v>
      </c>
      <c r="R8" s="15">
        <f>N8+Q9</f>
        <v>460.8</v>
      </c>
      <c r="S8" s="14">
        <f>N8+H8*O8</f>
        <v>0</v>
      </c>
      <c r="T8" s="1">
        <f>IF(AND(F8&lt;&gt;0,C6&lt;&gt;0),(1-H8)*O8/M8*F8/IF(G8,G8,1),0)</f>
        <v>0</v>
      </c>
      <c r="U8" s="1">
        <f>SUM(L8:L12)</f>
        <v>460.8</v>
      </c>
      <c r="V8" s="1">
        <f>S8+U9</f>
        <v>460.8</v>
      </c>
    </row>
    <row r="9" spans="1:23">
      <c r="A9" s="47"/>
      <c r="B9" s="27">
        <v>1</v>
      </c>
      <c r="C9" s="5">
        <v>40.299999999999997</v>
      </c>
      <c r="D9" s="1">
        <v>99999</v>
      </c>
      <c r="E9" s="1">
        <v>355.6</v>
      </c>
      <c r="F9" s="1">
        <v>4000</v>
      </c>
      <c r="G9" s="5">
        <v>1</v>
      </c>
      <c r="H9" s="21">
        <v>0</v>
      </c>
      <c r="I9" s="30" t="s">
        <v>449</v>
      </c>
      <c r="J9" s="30"/>
      <c r="K9" s="30"/>
      <c r="L9" s="14">
        <f>C9</f>
        <v>40.299999999999997</v>
      </c>
      <c r="M9" s="1">
        <f>E9</f>
        <v>355.6</v>
      </c>
      <c r="N9" s="1">
        <f>IF(D9,L9/D9,0)</f>
        <v>4.0300403004030037E-4</v>
      </c>
      <c r="O9" s="15">
        <f>L9-N9</f>
        <v>40.299596995969956</v>
      </c>
      <c r="P9" s="14">
        <f t="shared" ref="P9:P12" si="0">IF(F9,O9/M9*F9/IF(G9,G9,1),0)</f>
        <v>453.31380197941456</v>
      </c>
      <c r="Q9" s="1">
        <f>IF(F9,SUM(L9:L12)-P8*M9/F9*IF(G9,G9,1),0)</f>
        <v>460.8</v>
      </c>
      <c r="R9" s="15">
        <f>N9+Q10</f>
        <v>420.50040300403003</v>
      </c>
      <c r="S9" s="14">
        <f>N9+H9*O9</f>
        <v>4.0300403004030037E-4</v>
      </c>
      <c r="T9" s="1">
        <f>IF(F9,(1-H9)*O9/M9*F9/IF(G9,G9,1),0)</f>
        <v>453.31380197941456</v>
      </c>
      <c r="U9" s="1">
        <f>IF(F9,SUM(L9:L12)-T8*M9/F9*IF(G9,G9,1),0)</f>
        <v>460.8</v>
      </c>
      <c r="V9" s="1">
        <f>S9+U10</f>
        <v>420.50040300403003</v>
      </c>
    </row>
    <row r="10" spans="1:23">
      <c r="A10" s="47"/>
      <c r="B10" s="27">
        <v>2</v>
      </c>
      <c r="C10" s="5">
        <v>420.5</v>
      </c>
      <c r="D10" s="1">
        <v>5.407</v>
      </c>
      <c r="E10" s="1">
        <v>661</v>
      </c>
      <c r="F10" s="1">
        <v>459</v>
      </c>
      <c r="G10" s="5"/>
      <c r="H10" s="21"/>
      <c r="I10" s="30" t="s">
        <v>450</v>
      </c>
      <c r="J10" s="30"/>
      <c r="K10" s="30"/>
      <c r="L10" s="14">
        <f>C10</f>
        <v>420.5</v>
      </c>
      <c r="M10" s="1">
        <f>E10</f>
        <v>661</v>
      </c>
      <c r="N10" s="1">
        <f>IF(D10,L10/D10,0)</f>
        <v>77.769557980395788</v>
      </c>
      <c r="O10" s="15">
        <f>L10-N10</f>
        <v>342.7304420196042</v>
      </c>
      <c r="P10" s="14">
        <f t="shared" si="0"/>
        <v>237.99284854311398</v>
      </c>
      <c r="Q10" s="1">
        <f>SUM(L10:L12)</f>
        <v>420.5</v>
      </c>
      <c r="R10" s="15">
        <f>N10+Q11</f>
        <v>77.769557980395788</v>
      </c>
      <c r="S10" s="14">
        <f>N10+H10*O10</f>
        <v>77.769557980395788</v>
      </c>
      <c r="T10" s="1">
        <f t="shared" ref="T10:T12" si="1">IF(F10,(1-H10)*O10/M10*F10/IF(G10,G10,1),0)</f>
        <v>237.99284854311398</v>
      </c>
      <c r="U10" s="1">
        <f>SUM(L10:L12)</f>
        <v>420.5</v>
      </c>
      <c r="V10" s="1">
        <f>S10+U11</f>
        <v>77.769557980395788</v>
      </c>
    </row>
    <row r="11" spans="1:23">
      <c r="A11" s="33" t="s">
        <v>45</v>
      </c>
      <c r="B11" s="27">
        <v>3</v>
      </c>
      <c r="C11" s="5"/>
      <c r="D11" s="1"/>
      <c r="E11" s="1"/>
      <c r="F11" s="1"/>
      <c r="G11" s="5"/>
      <c r="H11" s="21"/>
      <c r="I11" s="30"/>
      <c r="J11" s="30"/>
      <c r="K11" s="30"/>
      <c r="L11" s="14">
        <f>C11</f>
        <v>0</v>
      </c>
      <c r="M11" s="1">
        <f>E11</f>
        <v>0</v>
      </c>
      <c r="N11" s="1">
        <f>IF(D11,L11/D11,0)</f>
        <v>0</v>
      </c>
      <c r="O11" s="15">
        <f>L11-N11</f>
        <v>0</v>
      </c>
      <c r="P11" s="14">
        <f t="shared" si="0"/>
        <v>0</v>
      </c>
      <c r="Q11" s="1">
        <f>SUM(L11:L12)</f>
        <v>0</v>
      </c>
      <c r="R11" s="15">
        <f>N11+Q12</f>
        <v>0</v>
      </c>
      <c r="S11" s="14">
        <f>N11+H11*O11</f>
        <v>0</v>
      </c>
      <c r="T11" s="1">
        <f t="shared" si="1"/>
        <v>0</v>
      </c>
      <c r="U11" s="1">
        <f>SUM(L11:L12)</f>
        <v>0</v>
      </c>
      <c r="V11" s="1">
        <f>S11+U12</f>
        <v>0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24"/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265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85" t="s">
        <v>42</v>
      </c>
      <c r="R13" s="85"/>
      <c r="S13" s="85"/>
      <c r="T13" s="31" t="s">
        <v>50</v>
      </c>
      <c r="U13" s="35" t="s">
        <v>47</v>
      </c>
      <c r="V13" s="36" t="s">
        <v>264</v>
      </c>
    </row>
    <row r="14" spans="1:23">
      <c r="A14" s="47"/>
      <c r="B14" s="27" t="s">
        <v>30</v>
      </c>
      <c r="C14" s="8">
        <v>19.2</v>
      </c>
      <c r="D14" s="1">
        <f>IF(C14,C14+Q8,"")</f>
        <v>480</v>
      </c>
      <c r="E14" s="72">
        <f>IF(C14,C14/D14,"")</f>
        <v>0.04</v>
      </c>
      <c r="F14" s="14" t="str">
        <f>IF(AND(C14&lt;&gt;"",N6&lt;&gt;""),(M8/F8*E6+M9/F9*D6)/(C14+Q8),"")</f>
        <v/>
      </c>
      <c r="G14" s="1">
        <f>IF(C14,IF(AND(F8&lt;&gt;0,C6&lt;&gt;0),M9,M9/F9*D6)/(C14+Q9),"")</f>
        <v>0.66675000000000006</v>
      </c>
      <c r="H14" s="1">
        <f>IF(C14,(M10)/(C14+Q10),"")</f>
        <v>1.5032977029793042</v>
      </c>
      <c r="I14" s="1">
        <f>IF(C14,(M11)/(C14+Q11),"")</f>
        <v>0</v>
      </c>
      <c r="J14" s="1">
        <f>IF(C14,(M12)/(C14+Q12),"")</f>
        <v>0</v>
      </c>
      <c r="K14" s="14" t="str">
        <f>IF(AND(C14&lt;&gt;"",N6&lt;&gt;""),9.8*N6*LN((C14+Q8)/(C14+R8)),"")</f>
        <v/>
      </c>
      <c r="L14" s="1">
        <f>IF(C14,9.8*F9*LN((C14+Q9)/(C14+R9)),"")</f>
        <v>3437.5464379591135</v>
      </c>
      <c r="M14" s="1">
        <f>IF(C14,9.8*F10*LN((C14+Q10)/(C14+R10)),"")</f>
        <v>6799.9090678233524</v>
      </c>
      <c r="N14" s="1">
        <f>IF(C14,9.8*F11*LN((C14+Q11)/(C14+R11)),"")</f>
        <v>0</v>
      </c>
      <c r="O14" s="1">
        <f>IF(C14,9.8*F12*LN((C14+Q12)/(C14+R12)),"")</f>
        <v>0</v>
      </c>
      <c r="P14" s="15">
        <f>IF(C14,SUM(K14:O14),"")</f>
        <v>10237.455505782465</v>
      </c>
      <c r="Q14" s="1" t="s">
        <v>473</v>
      </c>
      <c r="R14" s="1"/>
      <c r="S14" s="1"/>
      <c r="T14" s="32" t="str">
        <f>IF(OR(F14&lt;1,AND(F14="",G14&lt;1)),"起飞推重比不得小于0，空天飞机除外","")</f>
        <v>起飞推重比不得小于0，空天飞机除外</v>
      </c>
      <c r="U14" s="1"/>
      <c r="V14" s="1"/>
    </row>
    <row r="15" spans="1:23">
      <c r="A15" s="33" t="s">
        <v>47</v>
      </c>
      <c r="B15" s="27" t="s">
        <v>31</v>
      </c>
      <c r="C15" s="9"/>
      <c r="D15" s="1" t="str">
        <f>IF(C15,C15+Q8,"")</f>
        <v/>
      </c>
      <c r="E15" s="72" t="str">
        <f t="shared" ref="E15:E17" si="2">IF(C15,C15/D15,"")</f>
        <v/>
      </c>
      <c r="F15" s="14" t="str">
        <f>IF(AND(C15&lt;&gt;"",N6&lt;&gt;""),(M8/F8*E6+M9/F9*D6)/(C15+Q8),"")</f>
        <v/>
      </c>
      <c r="G15" s="1" t="str">
        <f>IF(C15,IF(AND(F8&lt;&gt;0,C6&lt;&gt;0),M9,M9/F9*D6)/(C15+Q9),"")</f>
        <v/>
      </c>
      <c r="H15" s="1" t="str">
        <f>IF(C15,(M10)/(C15+Q10),"")</f>
        <v/>
      </c>
      <c r="I15" s="1" t="str">
        <f>IF(C15,(M11)/(C15+Q11),"")</f>
        <v/>
      </c>
      <c r="J15" s="1" t="str">
        <f>IF(C15,(M12)/(C15+Q12),"")</f>
        <v/>
      </c>
      <c r="K15" s="14" t="str">
        <f>IF(AND(C15&lt;&gt;"",N6&lt;&gt;""),9.8*N6*LN((C15+Q8)/(C15+R8)),"")</f>
        <v/>
      </c>
      <c r="L15" s="1" t="str">
        <f>IF(C15,9.8*F9*LN((C15+Q9)/(C15+R9)),"")</f>
        <v/>
      </c>
      <c r="M15" s="1" t="str">
        <f>IF(C15,9.8*F10*LN((C15+Q10)/(C15+R10)),"")</f>
        <v/>
      </c>
      <c r="N15" s="1" t="str">
        <f>IF(C15,9.8*F11*LN((C15+Q11)/(C15+R11)),"")</f>
        <v/>
      </c>
      <c r="O15" s="1" t="str">
        <f>IF(C15,9.8*F12*LN((C15+Q12)/(C15+R12)),"")</f>
        <v/>
      </c>
      <c r="P15" s="15" t="str">
        <f>IF(C15,SUM(K15:O15),"")</f>
        <v/>
      </c>
      <c r="Q15" s="1" t="s">
        <v>474</v>
      </c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36</v>
      </c>
      <c r="C16" s="9"/>
      <c r="D16" s="1" t="str">
        <f>IF(C16,C16+Q8,"")</f>
        <v/>
      </c>
      <c r="E16" s="72" t="str">
        <f t="shared" si="2"/>
        <v/>
      </c>
      <c r="F16" s="14" t="str">
        <f>IF(AND(C16&lt;&gt;"",N6&lt;&gt;""),(M8/F8*E6+M9/F9*D6)/(C16+Q8),"")</f>
        <v/>
      </c>
      <c r="G16" s="1" t="str">
        <f>IF(C16,IF(AND(F8&lt;&gt;0,C6&lt;&gt;0),M9,M9/F9*D6)/(C16+Q9),"")</f>
        <v/>
      </c>
      <c r="H16" s="1" t="str">
        <f>IF(C16,(M10)/(C16+Q10),"")</f>
        <v/>
      </c>
      <c r="I16" s="1" t="str">
        <f>IF(C16,(M11)/(C16+Q11),"")</f>
        <v/>
      </c>
      <c r="J16" s="1" t="str">
        <f>IF(C16,(M12)/(C16+Q12),"")</f>
        <v/>
      </c>
      <c r="K16" s="14" t="str">
        <f>IF(AND(C16&lt;&gt;"",N6&lt;&gt;""),9.8*N6*LN((C16+Q8)/(C16+R8)),"")</f>
        <v/>
      </c>
      <c r="L16" s="1" t="str">
        <f>IF(C16,9.8*F9*LN((C16+Q9)/(C16+R9)),"")</f>
        <v/>
      </c>
      <c r="M16" s="1" t="str">
        <f>IF(C16,9.8*F10*LN((C16+Q10)/(C16+R10)),"")</f>
        <v/>
      </c>
      <c r="N16" s="1" t="str">
        <f>IF(C16,9.8*F11*LN((C16+Q11)/(C16+R11)),"")</f>
        <v/>
      </c>
      <c r="O16" s="1" t="str">
        <f>IF(C16,9.8*F12*LN((C16+Q12)/(C16+R12)),"")</f>
        <v/>
      </c>
      <c r="P16" s="15" t="str">
        <f>IF(C16,SUM(K16:O16),"")</f>
        <v/>
      </c>
      <c r="Q16" s="1"/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/>
      <c r="D17" s="1" t="str">
        <f>IF(C17,C17+Q8,"")</f>
        <v/>
      </c>
      <c r="E17" s="72" t="str">
        <f t="shared" si="2"/>
        <v/>
      </c>
      <c r="F17" s="14" t="str">
        <f>IF(AND(C17&lt;&gt;"",N6&lt;&gt;""),(M8/F8*E6+M9/F9*D6)/(C17+Q8),"")</f>
        <v/>
      </c>
      <c r="G17" s="1" t="str">
        <f>IF(C17,IF(AND(F8&lt;&gt;0,C6&lt;&gt;0),M9,M9/F9*D6)/(C17+Q9),"")</f>
        <v/>
      </c>
      <c r="H17" s="1" t="str">
        <f>IF(C17,(M10)/(C17+Q10),"")</f>
        <v/>
      </c>
      <c r="I17" s="1" t="str">
        <f>IF(C17,(M11)/(C17+Q11),"")</f>
        <v/>
      </c>
      <c r="J17" s="1" t="str">
        <f>IF(C17,(M12)/(C17+Q12),"")</f>
        <v/>
      </c>
      <c r="K17" s="14" t="str">
        <f>IF(AND(C17&lt;&gt;"",N6&lt;&gt;""),9.8*N6*LN((C17+Q8)/(C17+R8)),"")</f>
        <v/>
      </c>
      <c r="L17" s="1" t="str">
        <f>IF(C17,9.8*F9*LN((C17+Q9)/(C17+R9)),"")</f>
        <v/>
      </c>
      <c r="M17" s="1" t="str">
        <f>IF(C17,9.8*F10*LN((C17+Q10)/(C17+R10)),"")</f>
        <v/>
      </c>
      <c r="N17" s="1" t="str">
        <f>IF(C17,9.8*F11*LN((C17+Q11)/(C17+R11)),"")</f>
        <v/>
      </c>
      <c r="O17" s="1" t="str">
        <f>IF(C17,9.8*F12*LN((C17+Q12)/(C17+R12)),"")</f>
        <v/>
      </c>
      <c r="P17" s="15" t="str">
        <f>IF(C17,SUM(K17:O17),"")</f>
        <v/>
      </c>
      <c r="Q17" s="17"/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54</v>
      </c>
      <c r="D18" s="12" t="s">
        <v>28</v>
      </c>
      <c r="E18" s="12" t="s">
        <v>266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85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>
        <v>19.2</v>
      </c>
      <c r="D19" s="1">
        <f>IF(C19,C19+Q8,"")</f>
        <v>480</v>
      </c>
      <c r="E19" s="72">
        <f>IF(C19,C19/D19,"")</f>
        <v>0.04</v>
      </c>
      <c r="F19" s="14" t="str">
        <f>IF(AND(C19&lt;&gt;"",N6&lt;&gt;""),(M8/F8*E6+M9/F9*D6)/(C19+U8),"")</f>
        <v/>
      </c>
      <c r="G19" s="1">
        <f>IF(C19,IF(AND(F8&lt;&gt;0,C6&lt;&gt;0),M9,M9/F9*D6)/(C19+U9),"")</f>
        <v>0.66675000000000006</v>
      </c>
      <c r="H19" s="1">
        <f>IF(C19,(M10)/(C19+U10),"")</f>
        <v>1.5032977029793042</v>
      </c>
      <c r="I19" s="1">
        <f>IF(C19,(M11)/(C19+U11),"")</f>
        <v>0</v>
      </c>
      <c r="J19" s="1">
        <f>IF(C19,(M12)/(C19+U12),"")</f>
        <v>0</v>
      </c>
      <c r="K19" s="14" t="str">
        <f>IF(AND(C19&lt;&gt;"",N6&lt;&gt;""),9.8*N6*LN((C19+U8)/(C19+V8)),"")</f>
        <v/>
      </c>
      <c r="L19" s="1">
        <f>IF(C19,9.8*F9*LN((C19+U9)/(C19+V9)),"")</f>
        <v>3437.5464379591135</v>
      </c>
      <c r="M19" s="1">
        <f>IF(C19,9.8*F10*LN((C19+U10)/(C19+V10)),"")</f>
        <v>6799.9090678233524</v>
      </c>
      <c r="N19" s="1">
        <f>IF(C19,9.8*F11*LN((C19+U11)/(C19+V11)),"")</f>
        <v>0</v>
      </c>
      <c r="O19" s="1">
        <f>IF(C19,9.8*F12*LN((C19+U12)/(C19+V12)),"")</f>
        <v>0</v>
      </c>
      <c r="P19" s="15">
        <f>IF(C19,SUM(K19:O19),"")</f>
        <v>10237.455505782465</v>
      </c>
      <c r="Q19" s="1"/>
      <c r="R19" s="1"/>
      <c r="S19" s="1"/>
      <c r="T19" s="32" t="str">
        <f>IF(OR(F19&lt;1,AND(F19="",G19&lt;1)),"起飞推重比不得小于0，空天飞机除外","")</f>
        <v>起飞推重比不得小于0，空天飞机除外</v>
      </c>
      <c r="U19" s="1"/>
      <c r="V19" s="1"/>
    </row>
    <row r="20" spans="1:22">
      <c r="A20" s="47"/>
      <c r="B20" s="27" t="s">
        <v>31</v>
      </c>
      <c r="C20" s="9"/>
      <c r="D20" s="1" t="str">
        <f>IF(C20,C20+Q8,"")</f>
        <v/>
      </c>
      <c r="E20" s="72" t="str">
        <f t="shared" ref="E20:E22" si="4">IF(C20,C20/D20,"")</f>
        <v/>
      </c>
      <c r="F20" s="14" t="str">
        <f>IF(AND(C20&lt;&gt;"",N6&lt;&gt;""),(M8/F8*E6+M9/F9*D6)/(C20+U8),"")</f>
        <v/>
      </c>
      <c r="G20" s="1" t="str">
        <f>IF(C20,IF(AND(F8&lt;&gt;0,C6&lt;&gt;0),M9,M9/F9*D6)/(C20+U9),"")</f>
        <v/>
      </c>
      <c r="H20" s="1" t="str">
        <f>IF(C20,(M10)/(C20+U10),"")</f>
        <v/>
      </c>
      <c r="I20" s="1" t="str">
        <f>IF(C20,(M11)/(C20+U11),"")</f>
        <v/>
      </c>
      <c r="J20" s="1" t="str">
        <f>IF(C20,(M12)/(C20+U12),"")</f>
        <v/>
      </c>
      <c r="K20" s="14" t="str">
        <f>IF(AND(C20&lt;&gt;"",N6&lt;&gt;""),9.8*N6*LN((C20+U8)/(C20+V8)),"")</f>
        <v/>
      </c>
      <c r="L20" s="1" t="str">
        <f>IF(C20,9.8*F9*LN((C20+U9)/(C20+V9)),"")</f>
        <v/>
      </c>
      <c r="M20" s="1" t="str">
        <f>IF(C20,9.8*F10*LN((C20+U10)/(C20+V10)),"")</f>
        <v/>
      </c>
      <c r="N20" s="1" t="str">
        <f>IF(C20,9.8*F11*LN((C20+U11)/(C20+V11)),"")</f>
        <v/>
      </c>
      <c r="O20" s="1" t="str">
        <f>IF(C20,9.8*F12*LN((C20+U12)/(C20+V12)),"")</f>
        <v/>
      </c>
      <c r="P20" s="15" t="str">
        <f>IF(C20,SUM(K20:O20),"")</f>
        <v/>
      </c>
      <c r="Q20" s="1"/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/>
      <c r="D21" s="1" t="str">
        <f>IF(C21,C21+Q8,"")</f>
        <v/>
      </c>
      <c r="E21" s="72" t="str">
        <f t="shared" si="4"/>
        <v/>
      </c>
      <c r="F21" s="14" t="str">
        <f>IF(AND(C21&lt;&gt;"",N6&lt;&gt;""),(M8/F8*E6+M9/F9*D6)/(C21+U8),"")</f>
        <v/>
      </c>
      <c r="G21" s="1" t="str">
        <f>IF(C21,IF(AND(F8&lt;&gt;0,C6&lt;&gt;0),M9,M9/F9*D6)/(C21+U9),"")</f>
        <v/>
      </c>
      <c r="H21" s="1" t="str">
        <f>IF(C21,(M10)/(C21+U10),"")</f>
        <v/>
      </c>
      <c r="I21" s="1" t="str">
        <f>IF(C21,(M11)/(C21+U11),"")</f>
        <v/>
      </c>
      <c r="J21" s="1" t="str">
        <f>IF(C21,(M12)/(C21+U12),"")</f>
        <v/>
      </c>
      <c r="K21" s="14" t="str">
        <f>IF(AND(C21&lt;&gt;"",N6&lt;&gt;""),9.8*N6*LN((C21+U8)/(C21+V8)),"")</f>
        <v/>
      </c>
      <c r="L21" s="1" t="str">
        <f>IF(C21,9.8*F9*LN((C21+U9)/(C21+V9)),"")</f>
        <v/>
      </c>
      <c r="M21" s="1" t="str">
        <f>IF(C21,9.8*F10*LN((C21+U10)/(C21+V10)),"")</f>
        <v/>
      </c>
      <c r="N21" s="1" t="str">
        <f>IF(C21,9.8*F11*LN((C21+U11)/(C21+V11)),"")</f>
        <v/>
      </c>
      <c r="O21" s="1" t="str">
        <f>IF(C21,9.8*F12*LN((C21+U12)/(C21+V12)),"")</f>
        <v/>
      </c>
      <c r="P21" s="15" t="str">
        <f>IF(C21,SUM(K21:O21),"")</f>
        <v/>
      </c>
      <c r="Q21" s="1"/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46</v>
      </c>
      <c r="B22" s="49" t="s">
        <v>33</v>
      </c>
      <c r="C22" s="50"/>
      <c r="D22" s="25" t="str">
        <f>IF(C22,C22+Q8,"")</f>
        <v/>
      </c>
      <c r="E22" s="73" t="str">
        <f t="shared" si="4"/>
        <v/>
      </c>
      <c r="F22" s="70" t="str">
        <f>IF(AND(C22&lt;&gt;"",N6&lt;&gt;""),(M8/F8*E6+M9/F9*D6)/(C22+U8),"")</f>
        <v/>
      </c>
      <c r="G22" s="25" t="str">
        <f>IF(C22,IF(AND(F8&lt;&gt;0,C6&lt;&gt;0),M9,M9/F9*D6)/(C22+U9),"")</f>
        <v/>
      </c>
      <c r="H22" s="25" t="str">
        <f>IF(C22,(M10)/(C22+U10),"")</f>
        <v/>
      </c>
      <c r="I22" s="25" t="str">
        <f>IF(C22,(M11)/(C22+U11),"")</f>
        <v/>
      </c>
      <c r="J22" s="25" t="str">
        <f>IF(C22,(M12)/(C22+U12),"")</f>
        <v/>
      </c>
      <c r="K22" s="70" t="str">
        <f>IF(AND(C22&lt;&gt;"",N6&lt;&gt;""),9.8*N6*LN((C22+U8)/(C22+V8)),"")</f>
        <v/>
      </c>
      <c r="L22" s="25" t="str">
        <f>IF(C22,9.8*F9*LN((C22+U9)/(C22+V9)),"")</f>
        <v/>
      </c>
      <c r="M22" s="25" t="str">
        <f>IF(C22,9.8*F10*LN((C22+U10)/(C22+V10)),"")</f>
        <v/>
      </c>
      <c r="N22" s="25" t="str">
        <f>IF(C22,9.8*F11*LN((C22+U11)/(C22+V11)),"")</f>
        <v/>
      </c>
      <c r="O22" s="25" t="str">
        <f>IF(C22,9.8*F12*LN((C22+U12)/(C22+V12)),"")</f>
        <v/>
      </c>
      <c r="P22" s="71" t="str">
        <f>IF(C22,SUM(K22:O22),"")</f>
        <v/>
      </c>
      <c r="Q22" s="25"/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440</v>
      </c>
      <c r="B24" s="52"/>
      <c r="C24" s="29" t="s">
        <v>0</v>
      </c>
      <c r="D24" s="90" t="s">
        <v>41</v>
      </c>
      <c r="E24" s="90"/>
      <c r="F24" s="43"/>
      <c r="G24" s="43"/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441</v>
      </c>
      <c r="B25" s="39"/>
      <c r="C25" s="2">
        <v>0</v>
      </c>
      <c r="D25" s="2">
        <v>4000</v>
      </c>
      <c r="E25" s="2">
        <v>0</v>
      </c>
      <c r="F25" s="41"/>
      <c r="G25" s="42"/>
      <c r="H25" s="42"/>
      <c r="I25" s="24" t="s">
        <v>466</v>
      </c>
      <c r="J25" s="24"/>
      <c r="K25" s="24"/>
      <c r="L25" s="55">
        <f>IFERROR(IF(AND(F27&lt;&gt;0,C25&lt;&gt;0),M27/F27*E25+M28/F28*D25,M28/F28*D25),0)</f>
        <v>201.3953488372093</v>
      </c>
      <c r="M25" s="53" t="s">
        <v>45</v>
      </c>
      <c r="N25" s="17" t="str">
        <f>IF(AND(F27&lt;&gt;0,C25&lt;&gt;0),(M27+M28)/(M27/F27+M28/F28),"")</f>
        <v/>
      </c>
      <c r="O25" s="56" t="s">
        <v>46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60" t="s">
        <v>660</v>
      </c>
      <c r="J26" s="24"/>
      <c r="K26" s="24"/>
      <c r="L26" s="11" t="s">
        <v>6</v>
      </c>
      <c r="M26" s="12" t="s">
        <v>69</v>
      </c>
      <c r="N26" s="12" t="s">
        <v>15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16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/>
      <c r="D27" s="4"/>
      <c r="E27" s="4"/>
      <c r="F27" s="4"/>
      <c r="G27" s="19"/>
      <c r="H27" s="20"/>
      <c r="I27" s="24"/>
      <c r="J27" s="24"/>
      <c r="K27" s="24"/>
      <c r="L27" s="14">
        <f>C27*C25</f>
        <v>0</v>
      </c>
      <c r="M27" s="1">
        <f>E27*C25</f>
        <v>0</v>
      </c>
      <c r="N27" s="1">
        <f>IF(D27,L27/D27,0)</f>
        <v>0</v>
      </c>
      <c r="O27" s="15">
        <f>L27-N27</f>
        <v>0</v>
      </c>
      <c r="P27" s="14">
        <f>IF(AND(F27&lt;&gt;0,C25&lt;&gt;0),O27/M27*F27/IF(G27,G27,1),0)</f>
        <v>0</v>
      </c>
      <c r="Q27" s="1">
        <f>SUM(L27:L31)</f>
        <v>310</v>
      </c>
      <c r="R27" s="15">
        <f>N27+Q28</f>
        <v>310</v>
      </c>
      <c r="S27" s="14">
        <f>N27+H27*O27</f>
        <v>0</v>
      </c>
      <c r="T27" s="1">
        <f>IF(AND(F27&lt;&gt;0,C25&lt;&gt;0),(1-H27)*O27/M27*F27/IF(G27,G27,1),0)</f>
        <v>0</v>
      </c>
      <c r="U27" s="1">
        <f>SUM(L27:L31)</f>
        <v>310</v>
      </c>
      <c r="V27" s="1">
        <f>S27+U28</f>
        <v>310</v>
      </c>
    </row>
    <row r="28" spans="1:22">
      <c r="A28" s="47"/>
      <c r="B28" s="27">
        <v>1</v>
      </c>
      <c r="C28" s="5">
        <v>25</v>
      </c>
      <c r="D28" s="1">
        <v>99999</v>
      </c>
      <c r="E28" s="1">
        <v>216.5</v>
      </c>
      <c r="F28" s="1">
        <v>4300</v>
      </c>
      <c r="G28" s="5">
        <v>1</v>
      </c>
      <c r="H28" s="21">
        <v>0</v>
      </c>
      <c r="I28" s="30" t="s">
        <v>451</v>
      </c>
      <c r="J28" s="30"/>
      <c r="K28" s="30"/>
      <c r="L28" s="14">
        <f>C28</f>
        <v>25</v>
      </c>
      <c r="M28" s="1">
        <f>E28</f>
        <v>216.5</v>
      </c>
      <c r="N28" s="1">
        <f>IF(D28,L28/D28,0)</f>
        <v>2.5000250002500023E-4</v>
      </c>
      <c r="O28" s="15">
        <f>L28-N28</f>
        <v>24.999749997499976</v>
      </c>
      <c r="P28" s="14">
        <f t="shared" ref="P28:P31" si="6">IF(F28,O28/M28*F28/IF(G28,G28,1),0)</f>
        <v>496.53083135912192</v>
      </c>
      <c r="Q28" s="1">
        <f>IF(F28,SUM(L28:L31)-P27*M28/F28*IF(G28,G28,1),0)</f>
        <v>310</v>
      </c>
      <c r="R28" s="15">
        <f>N28+Q29</f>
        <v>285.00025000250002</v>
      </c>
      <c r="S28" s="14">
        <f>N28+H28*O28</f>
        <v>2.5000250002500023E-4</v>
      </c>
      <c r="T28" s="1">
        <f>IF(F28,(1-H28)*O28/M28*F28/IF(G28,G28,1),0)</f>
        <v>496.53083135912192</v>
      </c>
      <c r="U28" s="1">
        <f>IF(F28,SUM(L28:L31)-T27*M28/F28*IF(G28,G28,1),0)</f>
        <v>310</v>
      </c>
      <c r="V28" s="1">
        <f>S28+U29</f>
        <v>285.00025000250002</v>
      </c>
    </row>
    <row r="29" spans="1:22">
      <c r="A29" s="47"/>
      <c r="B29" s="27">
        <v>2</v>
      </c>
      <c r="C29" s="5">
        <v>285</v>
      </c>
      <c r="D29" s="1">
        <v>5.3369999999999997</v>
      </c>
      <c r="E29" s="1">
        <v>408</v>
      </c>
      <c r="F29" s="1">
        <v>459</v>
      </c>
      <c r="G29" s="5"/>
      <c r="H29" s="21"/>
      <c r="I29" s="30" t="s">
        <v>452</v>
      </c>
      <c r="J29" s="30"/>
      <c r="K29" s="30"/>
      <c r="L29" s="14">
        <f>C29</f>
        <v>285</v>
      </c>
      <c r="M29" s="1">
        <f>E29</f>
        <v>408</v>
      </c>
      <c r="N29" s="1">
        <f>IF(D29,L29/D29,0)</f>
        <v>53.40078695896571</v>
      </c>
      <c r="O29" s="15">
        <f>L29-N29</f>
        <v>231.59921304103429</v>
      </c>
      <c r="P29" s="14">
        <f t="shared" si="6"/>
        <v>260.54911467116358</v>
      </c>
      <c r="Q29" s="1">
        <f>SUM(L29:L31)</f>
        <v>285</v>
      </c>
      <c r="R29" s="15">
        <f>N29+Q30</f>
        <v>53.40078695896571</v>
      </c>
      <c r="S29" s="14">
        <f>N29+H29*O29</f>
        <v>53.40078695896571</v>
      </c>
      <c r="T29" s="1">
        <f t="shared" ref="T29:T31" si="7">IF(F29,(1-H29)*O29/M29*F29/IF(G29,G29,1),0)</f>
        <v>260.54911467116358</v>
      </c>
      <c r="U29" s="1">
        <f>SUM(L29:L31)</f>
        <v>285</v>
      </c>
      <c r="V29" s="1">
        <f>S29+U30</f>
        <v>53.40078695896571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/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24"/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265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264</v>
      </c>
    </row>
    <row r="33" spans="1:22">
      <c r="A33" s="47"/>
      <c r="B33" s="27" t="s">
        <v>30</v>
      </c>
      <c r="C33" s="8">
        <v>15</v>
      </c>
      <c r="D33" s="1">
        <f>IF(C33,C33+Q27,"")</f>
        <v>325</v>
      </c>
      <c r="E33" s="72">
        <f>IF(C33,C33/D33,"")</f>
        <v>4.6153846153846156E-2</v>
      </c>
      <c r="F33" s="14" t="str">
        <f>IF(AND(C33&lt;&gt;"",N25&lt;&gt;""),(M27/F27*E25+M28/F28*D25)/(C33+Q27),"")</f>
        <v/>
      </c>
      <c r="G33" s="1">
        <f>IF(C33,IF(AND(F27&lt;&gt;0,C25&lt;&gt;0),M28,M28/F28*D25)/(C33+Q28),"")</f>
        <v>0.61967799642218246</v>
      </c>
      <c r="H33" s="1">
        <f>IF(C33,(M29)/(C33+Q29),"")</f>
        <v>1.36</v>
      </c>
      <c r="I33" s="1">
        <f>IF(C33,(M30)/(C33+Q30),"")</f>
        <v>0</v>
      </c>
      <c r="J33" s="1">
        <f>IF(C33,(M31)/(C33+Q31),"")</f>
        <v>0</v>
      </c>
      <c r="K33" s="14" t="str">
        <f>IF(AND(C33&lt;&gt;"",N25&lt;&gt;""),9.8*N25*LN((C33+Q27)/(C33+R27)),"")</f>
        <v/>
      </c>
      <c r="L33" s="1">
        <f>IF(C33,9.8*F28*LN((C33+Q28)/(C33+R28)),"")</f>
        <v>3372.9645843596204</v>
      </c>
      <c r="M33" s="1">
        <f>IF(C33,9.8*F29*LN((C33+Q29)/(C33+R29)),"")</f>
        <v>6650.1305351455776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10023.095119505198</v>
      </c>
      <c r="Q33" s="1" t="s">
        <v>472</v>
      </c>
      <c r="R33" s="1"/>
      <c r="S33" s="1"/>
      <c r="T33" s="32" t="str">
        <f>IF(OR(F33&lt;1,AND(F33="",G33&lt;1)),"起飞推重比不得小于0，空天飞机除外","")</f>
        <v>起飞推重比不得小于0，空天飞机除外</v>
      </c>
      <c r="U33" s="1"/>
      <c r="V33" s="1"/>
    </row>
    <row r="34" spans="1:22">
      <c r="A34" s="33" t="s">
        <v>47</v>
      </c>
      <c r="B34" s="27" t="s">
        <v>31</v>
      </c>
      <c r="C34" s="9"/>
      <c r="D34" s="1" t="str">
        <f>IF(C34,C34+Q27,"")</f>
        <v/>
      </c>
      <c r="E34" s="72" t="str">
        <f t="shared" ref="E34:E36" si="8">IF(C34,C34/D34,"")</f>
        <v/>
      </c>
      <c r="F34" s="14" t="str">
        <f>IF(AND(C34&lt;&gt;"",N25&lt;&gt;""),(M27/F27*E25+M28/F28*D25)/(C34+Q27),"")</f>
        <v/>
      </c>
      <c r="G34" s="1" t="str">
        <f>IF(C34,IF(AND(F27&lt;&gt;0,C25&lt;&gt;0),M28,M28/F28*D25)/(C34+Q28),"")</f>
        <v/>
      </c>
      <c r="H34" s="1" t="str">
        <f>IF(C34,(M29)/(C34+Q29),"")</f>
        <v/>
      </c>
      <c r="I34" s="1" t="str">
        <f>IF(C34,(M30)/(C34+Q30),"")</f>
        <v/>
      </c>
      <c r="J34" s="1" t="str">
        <f>IF(C34,(M31)/(C34+Q31),"")</f>
        <v/>
      </c>
      <c r="K34" s="14" t="str">
        <f>IF(AND(C34&lt;&gt;"",N25&lt;&gt;""),9.8*N25*LN((C34+Q27)/(C34+R27)),"")</f>
        <v/>
      </c>
      <c r="L34" s="1" t="str">
        <f>IF(C34,9.8*F28*LN((C34+Q28)/(C34+R28)),"")</f>
        <v/>
      </c>
      <c r="M34" s="1" t="str">
        <f>IF(C34,9.8*F29*LN((C34+Q29)/(C34+R29)),"")</f>
        <v/>
      </c>
      <c r="N34" s="1" t="str">
        <f>IF(C34,9.8*F30*LN((C34+Q30)/(C34+R30)),"")</f>
        <v/>
      </c>
      <c r="O34" s="1" t="str">
        <f>IF(C34,9.8*F31*LN((C34+Q31)/(C34+R31)),"")</f>
        <v/>
      </c>
      <c r="P34" s="15" t="str">
        <f>IF(C34,SUM(K34:O34),"")</f>
        <v/>
      </c>
      <c r="Q34" s="1" t="s">
        <v>474</v>
      </c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36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/>
      <c r="D36" s="1" t="str">
        <f>IF(C36,C36+Q27,"")</f>
        <v/>
      </c>
      <c r="E36" s="72" t="str">
        <f t="shared" si="8"/>
        <v/>
      </c>
      <c r="F36" s="14" t="str">
        <f>IF(AND(C36&lt;&gt;"",N25&lt;&gt;""),(M27/F27*E25+M28/F28*D25)/(C36+Q27),"")</f>
        <v/>
      </c>
      <c r="G36" s="1" t="str">
        <f>IF(C36,IF(AND(F27&lt;&gt;0,C25&lt;&gt;0),M28,M28/F28*D25)/(C36+Q28),"")</f>
        <v/>
      </c>
      <c r="H36" s="1" t="str">
        <f>IF(C36,(M29)/(C36+Q29),"")</f>
        <v/>
      </c>
      <c r="I36" s="1" t="str">
        <f>IF(C36,(M30)/(C36+Q30),"")</f>
        <v/>
      </c>
      <c r="J36" s="1" t="str">
        <f>IF(C36,(M31)/(C36+Q31),"")</f>
        <v/>
      </c>
      <c r="K36" s="14" t="str">
        <f>IF(AND(C36&lt;&gt;"",N25&lt;&gt;""),9.8*N25*LN((C36+Q27)/(C36+R27)),"")</f>
        <v/>
      </c>
      <c r="L36" s="1" t="str">
        <f>IF(C36,9.8*F28*LN((C36+Q28)/(C36+R28)),"")</f>
        <v/>
      </c>
      <c r="M36" s="1" t="str">
        <f>IF(C36,9.8*F29*LN((C36+Q29)/(C36+R29)),"")</f>
        <v/>
      </c>
      <c r="N36" s="1" t="str">
        <f>IF(C36,9.8*F30*LN((C36+Q30)/(C36+R30)),"")</f>
        <v/>
      </c>
      <c r="O36" s="1" t="str">
        <f>IF(C36,9.8*F31*LN((C36+Q31)/(C36+R31)),"")</f>
        <v/>
      </c>
      <c r="P36" s="15" t="str">
        <f>IF(C36,SUM(K36:O36),"")</f>
        <v/>
      </c>
      <c r="Q36" s="17"/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54</v>
      </c>
      <c r="D37" s="12" t="s">
        <v>28</v>
      </c>
      <c r="E37" s="12" t="s">
        <v>266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>
        <v>15</v>
      </c>
      <c r="D38" s="1">
        <f>IF(C38,C38+Q27,"")</f>
        <v>325</v>
      </c>
      <c r="E38" s="72">
        <f>IF(C38,C38/D38,"")</f>
        <v>4.6153846153846156E-2</v>
      </c>
      <c r="F38" s="14" t="str">
        <f>IF(AND(C38&lt;&gt;"",N25&lt;&gt;""),(M27/F27*E25+M28/F28*D25)/(C38+U27),"")</f>
        <v/>
      </c>
      <c r="G38" s="1">
        <f>IF(C38,IF(AND(F27&lt;&gt;0,C25&lt;&gt;0),M28,M28/F28*D25)/(C38+U28),"")</f>
        <v>0.61967799642218246</v>
      </c>
      <c r="H38" s="1">
        <f>IF(C38,(M29)/(C38+U29),"")</f>
        <v>1.36</v>
      </c>
      <c r="I38" s="1">
        <f>IF(C38,(M30)/(C38+U30),"")</f>
        <v>0</v>
      </c>
      <c r="J38" s="1">
        <f>IF(C38,(M31)/(C38+U31),"")</f>
        <v>0</v>
      </c>
      <c r="K38" s="14" t="str">
        <f>IF(AND(C38&lt;&gt;"",N25&lt;&gt;""),9.8*N25*LN((C38+U27)/(C38+V27)),"")</f>
        <v/>
      </c>
      <c r="L38" s="1">
        <f>IF(C38,9.8*F28*LN((C38+U28)/(C38+V28)),"")</f>
        <v>3372.9645843596204</v>
      </c>
      <c r="M38" s="1">
        <f>IF(C38,9.8*F29*LN((C38+U29)/(C38+V29)),"")</f>
        <v>6650.1305351455776</v>
      </c>
      <c r="N38" s="1">
        <f>IF(C38,9.8*F30*LN((C38+U30)/(C38+V30)),"")</f>
        <v>0</v>
      </c>
      <c r="O38" s="1">
        <f>IF(C38,9.8*F31*LN((C38+U31)/(C38+V31)),"")</f>
        <v>0</v>
      </c>
      <c r="P38" s="15">
        <f>IF(C38,SUM(K38:O38),"")</f>
        <v>10023.095119505198</v>
      </c>
      <c r="Q38" s="1"/>
      <c r="R38" s="1"/>
      <c r="S38" s="1"/>
      <c r="T38" s="32" t="str">
        <f>IF(OR(F38&lt;1,AND(F38="",G38&lt;1)),"起飞推重比不得小于0，空天飞机除外","")</f>
        <v>起飞推重比不得小于0，空天飞机除外</v>
      </c>
      <c r="U38" s="1"/>
      <c r="V38" s="1"/>
    </row>
    <row r="39" spans="1:22">
      <c r="A39" s="47"/>
      <c r="B39" s="27" t="s">
        <v>31</v>
      </c>
      <c r="C39" s="9"/>
      <c r="D39" s="1" t="str">
        <f>IF(C39,C39+Q27,"")</f>
        <v/>
      </c>
      <c r="E39" s="72" t="str">
        <f t="shared" ref="E39:E41" si="10">IF(C39,C39/D39,"")</f>
        <v/>
      </c>
      <c r="F39" s="14" t="str">
        <f>IF(AND(C39&lt;&gt;"",N25&lt;&gt;""),(M27/F27*E25+M28/F28*D25)/(C39+U27),"")</f>
        <v/>
      </c>
      <c r="G39" s="1" t="str">
        <f>IF(C39,IF(AND(F27&lt;&gt;0,C25&lt;&gt;0),M28,M28/F28*D25)/(C39+U28),"")</f>
        <v/>
      </c>
      <c r="H39" s="1" t="str">
        <f>IF(C39,(M29)/(C39+U29),"")</f>
        <v/>
      </c>
      <c r="I39" s="1" t="str">
        <f>IF(C39,(M30)/(C39+U30),"")</f>
        <v/>
      </c>
      <c r="J39" s="1" t="str">
        <f>IF(C39,(M31)/(C39+U31),"")</f>
        <v/>
      </c>
      <c r="K39" s="14" t="str">
        <f>IF(AND(C39&lt;&gt;"",N25&lt;&gt;""),9.8*N25*LN((C39+U27)/(C39+V27)),"")</f>
        <v/>
      </c>
      <c r="L39" s="1" t="str">
        <f>IF(C39,9.8*F28*LN((C39+U28)/(C39+V28)),"")</f>
        <v/>
      </c>
      <c r="M39" s="1" t="str">
        <f>IF(C39,9.8*F29*LN((C39+U29)/(C39+V29)),"")</f>
        <v/>
      </c>
      <c r="N39" s="1" t="str">
        <f>IF(C39,9.8*F30*LN((C39+U30)/(C39+V30)),"")</f>
        <v/>
      </c>
      <c r="O39" s="1" t="str">
        <f>IF(C39,9.8*F31*LN((C39+U31)/(C39+V31)),"")</f>
        <v/>
      </c>
      <c r="P39" s="15" t="str">
        <f>IF(C39,SUM(K39:O39),"")</f>
        <v/>
      </c>
      <c r="Q39" s="1"/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/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46</v>
      </c>
      <c r="B41" s="49" t="s">
        <v>33</v>
      </c>
      <c r="C41" s="50"/>
      <c r="D41" s="25" t="str">
        <f>IF(C41,C41+Q27,"")</f>
        <v/>
      </c>
      <c r="E41" s="73" t="str">
        <f t="shared" si="10"/>
        <v/>
      </c>
      <c r="F41" s="70" t="str">
        <f>IF(AND(C41&lt;&gt;"",N25&lt;&gt;""),(M27/F27*E25+M28/F28*D25)/(C41+U27),"")</f>
        <v/>
      </c>
      <c r="G41" s="25" t="str">
        <f>IF(C41,IF(AND(F27&lt;&gt;0,C25&lt;&gt;0),M28,M28/F28*D25)/(C41+U28),"")</f>
        <v/>
      </c>
      <c r="H41" s="25" t="str">
        <f>IF(C41,(M29)/(C41+U29),"")</f>
        <v/>
      </c>
      <c r="I41" s="25" t="str">
        <f>IF(C41,(M30)/(C41+U30),"")</f>
        <v/>
      </c>
      <c r="J41" s="25" t="str">
        <f>IF(C41,(M31)/(C41+U31),"")</f>
        <v/>
      </c>
      <c r="K41" s="70" t="str">
        <f>IF(AND(C41&lt;&gt;"",N25&lt;&gt;""),9.8*N25*LN((C41+U27)/(C41+V27)),"")</f>
        <v/>
      </c>
      <c r="L41" s="25" t="str">
        <f>IF(C41,9.8*F28*LN((C41+U28)/(C41+V28)),"")</f>
        <v/>
      </c>
      <c r="M41" s="25" t="str">
        <f>IF(C41,9.8*F29*LN((C41+U29)/(C41+V29)),"")</f>
        <v/>
      </c>
      <c r="N41" s="25" t="str">
        <f>IF(C41,9.8*F30*LN((C41+U30)/(C41+V30)),"")</f>
        <v/>
      </c>
      <c r="O41" s="25" t="str">
        <f>IF(C41,9.8*F31*LN((C41+U31)/(C41+V31)),"")</f>
        <v/>
      </c>
      <c r="P41" s="71" t="str">
        <f>IF(C41,SUM(K41:O41),"")</f>
        <v/>
      </c>
      <c r="Q41" s="25"/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442</v>
      </c>
      <c r="B43" s="52"/>
      <c r="C43" s="29" t="s">
        <v>0</v>
      </c>
      <c r="D43" s="90" t="s">
        <v>41</v>
      </c>
      <c r="E43" s="90"/>
      <c r="F43" s="43"/>
      <c r="G43" s="43"/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443</v>
      </c>
      <c r="B44" s="39"/>
      <c r="C44" s="2">
        <v>0</v>
      </c>
      <c r="D44" s="2">
        <v>3000</v>
      </c>
      <c r="E44" s="2">
        <v>0</v>
      </c>
      <c r="F44" s="41"/>
      <c r="G44" s="42"/>
      <c r="H44" s="42"/>
      <c r="I44" s="24" t="s">
        <v>453</v>
      </c>
      <c r="J44" s="24"/>
      <c r="K44" s="24"/>
      <c r="L44" s="55">
        <f>IFERROR(IF(AND(F46&lt;&gt;0,C44&lt;&gt;0),M46/F46*E44+M47/F47*D44,M47/F47*D44),0)</f>
        <v>120</v>
      </c>
      <c r="M44" s="53" t="s">
        <v>45</v>
      </c>
      <c r="N44" s="17" t="str">
        <f>IF(AND(F46&lt;&gt;0,C44&lt;&gt;0),(M46+M47)/(M46/F46+M47/F47),"")</f>
        <v/>
      </c>
      <c r="O44" s="56" t="s">
        <v>46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60</v>
      </c>
      <c r="D45" s="1" t="s">
        <v>61</v>
      </c>
      <c r="E45" s="1" t="s">
        <v>62</v>
      </c>
      <c r="F45" s="1" t="s">
        <v>63</v>
      </c>
      <c r="G45" s="1" t="s">
        <v>64</v>
      </c>
      <c r="H45" s="1" t="s">
        <v>65</v>
      </c>
      <c r="I45" s="30" t="s">
        <v>459</v>
      </c>
      <c r="J45" s="24"/>
      <c r="K45" s="24"/>
      <c r="L45" s="11" t="s">
        <v>6</v>
      </c>
      <c r="M45" s="12" t="s">
        <v>69</v>
      </c>
      <c r="N45" s="12" t="s">
        <v>15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16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/>
      <c r="D46" s="4"/>
      <c r="E46" s="4"/>
      <c r="F46" s="4"/>
      <c r="G46" s="19"/>
      <c r="H46" s="20"/>
      <c r="I46" s="24"/>
      <c r="J46" s="24"/>
      <c r="K46" s="24"/>
      <c r="L46" s="14">
        <f>C46*C44</f>
        <v>0</v>
      </c>
      <c r="M46" s="1">
        <f>E46*C44</f>
        <v>0</v>
      </c>
      <c r="N46" s="1">
        <f>IF(D46,L46/D46,0)</f>
        <v>0</v>
      </c>
      <c r="O46" s="15">
        <f>L46-N46</f>
        <v>0</v>
      </c>
      <c r="P46" s="14">
        <f>IF(AND(F46&lt;&gt;0,C44&lt;&gt;0),O46/M46*F46/IF(G46,G46,1),0)</f>
        <v>0</v>
      </c>
      <c r="Q46" s="1">
        <f>SUM(L46:L50)</f>
        <v>178</v>
      </c>
      <c r="R46" s="15">
        <f>N46+Q47</f>
        <v>178</v>
      </c>
      <c r="S46" s="14">
        <f>N46+H46*O46</f>
        <v>0</v>
      </c>
      <c r="T46" s="1">
        <f>IF(AND(F46&lt;&gt;0,C44&lt;&gt;0),(1-H46)*O46/M46*F46/IF(G46,G46,1),0)</f>
        <v>0</v>
      </c>
      <c r="U46" s="1">
        <f>SUM(L46:L50)</f>
        <v>178</v>
      </c>
      <c r="V46" s="1">
        <f>S46+U47</f>
        <v>178</v>
      </c>
    </row>
    <row r="47" spans="1:22">
      <c r="A47" s="47"/>
      <c r="B47" s="27">
        <v>1</v>
      </c>
      <c r="C47" s="5">
        <v>140</v>
      </c>
      <c r="D47" s="1">
        <v>1.657</v>
      </c>
      <c r="E47" s="1">
        <v>48</v>
      </c>
      <c r="F47" s="1">
        <v>1200</v>
      </c>
      <c r="G47" s="5">
        <v>1</v>
      </c>
      <c r="H47" s="21">
        <v>0</v>
      </c>
      <c r="I47" s="30" t="s">
        <v>454</v>
      </c>
      <c r="J47" s="30"/>
      <c r="K47" s="30"/>
      <c r="L47" s="14">
        <f>C47</f>
        <v>140</v>
      </c>
      <c r="M47" s="1">
        <f>E47</f>
        <v>48</v>
      </c>
      <c r="N47" s="1">
        <f>IF(D47,L47/D47,0)</f>
        <v>84.490042245021115</v>
      </c>
      <c r="O47" s="15">
        <f>L47-N47</f>
        <v>55.509957754978885</v>
      </c>
      <c r="P47" s="14">
        <f t="shared" ref="P47:P50" si="12">IF(F47,O47/M47*F47/IF(G47,G47,1),0)</f>
        <v>1387.7489438744722</v>
      </c>
      <c r="Q47" s="1">
        <f>IF(F47,SUM(L47:L50)-P46*M47/F47*IF(G47,G47,1),0)</f>
        <v>178</v>
      </c>
      <c r="R47" s="15">
        <f>N47+Q48</f>
        <v>122.49004224502112</v>
      </c>
      <c r="S47" s="14">
        <f>N47+H47*O47</f>
        <v>84.490042245021115</v>
      </c>
      <c r="T47" s="1">
        <f>IF(F47,(1-H47)*O47/M47*F47/IF(G47,G47,1),0)</f>
        <v>1387.7489438744722</v>
      </c>
      <c r="U47" s="1">
        <f>IF(F47,SUM(L47:L50)-T46*M47/F47*IF(G47,G47,1),0)</f>
        <v>178</v>
      </c>
      <c r="V47" s="1">
        <f>S47+U48</f>
        <v>122.49004224502112</v>
      </c>
    </row>
    <row r="48" spans="1:22">
      <c r="A48" s="47"/>
      <c r="B48" s="27">
        <v>2</v>
      </c>
      <c r="C48" s="5">
        <v>38</v>
      </c>
      <c r="D48" s="1">
        <v>4.8</v>
      </c>
      <c r="E48" s="1">
        <v>51</v>
      </c>
      <c r="F48" s="1">
        <v>456</v>
      </c>
      <c r="G48" s="5"/>
      <c r="H48" s="21"/>
      <c r="I48" s="30" t="s">
        <v>455</v>
      </c>
      <c r="J48" s="30"/>
      <c r="K48" s="30"/>
      <c r="L48" s="14">
        <f>C48</f>
        <v>38</v>
      </c>
      <c r="M48" s="1">
        <f>E48</f>
        <v>51</v>
      </c>
      <c r="N48" s="1">
        <f>IF(D48,L48/D48,0)</f>
        <v>7.916666666666667</v>
      </c>
      <c r="O48" s="15">
        <f>L48-N48</f>
        <v>30.083333333333332</v>
      </c>
      <c r="P48" s="14">
        <f t="shared" si="12"/>
        <v>268.98039215686276</v>
      </c>
      <c r="Q48" s="1">
        <f>SUM(L48:L50)</f>
        <v>38</v>
      </c>
      <c r="R48" s="15">
        <f>N48+Q49</f>
        <v>7.916666666666667</v>
      </c>
      <c r="S48" s="14">
        <f>N48+H48*O48</f>
        <v>7.916666666666667</v>
      </c>
      <c r="T48" s="1">
        <f t="shared" ref="T48:T50" si="13">IF(F48,(1-H48)*O48/M48*F48/IF(G48,G48,1),0)</f>
        <v>268.98039215686276</v>
      </c>
      <c r="U48" s="1">
        <f>SUM(L48:L50)</f>
        <v>38</v>
      </c>
      <c r="V48" s="1">
        <f>S48+U49</f>
        <v>7.916666666666667</v>
      </c>
    </row>
    <row r="49" spans="1:22">
      <c r="A49" s="33" t="s">
        <v>45</v>
      </c>
      <c r="B49" s="27">
        <v>3</v>
      </c>
      <c r="C49" s="5"/>
      <c r="D49" s="1"/>
      <c r="E49" s="1"/>
      <c r="F49" s="1"/>
      <c r="G49" s="5"/>
      <c r="H49" s="21"/>
      <c r="I49" s="30" t="s">
        <v>460</v>
      </c>
      <c r="J49" s="30"/>
      <c r="K49" s="30"/>
      <c r="L49" s="14">
        <f>C49</f>
        <v>0</v>
      </c>
      <c r="M49" s="1">
        <f>E49</f>
        <v>0</v>
      </c>
      <c r="N49" s="1">
        <f>IF(D49,L49/D49,0)</f>
        <v>0</v>
      </c>
      <c r="O49" s="15">
        <f>L49-N49</f>
        <v>0</v>
      </c>
      <c r="P49" s="14">
        <f t="shared" si="12"/>
        <v>0</v>
      </c>
      <c r="Q49" s="1">
        <f>SUM(L49:L50)</f>
        <v>0</v>
      </c>
      <c r="R49" s="15">
        <f>N49+Q50</f>
        <v>0</v>
      </c>
      <c r="S49" s="14">
        <f>N49+H49*O49</f>
        <v>0</v>
      </c>
      <c r="T49" s="1">
        <f t="shared" si="13"/>
        <v>0</v>
      </c>
      <c r="U49" s="1">
        <f>SUM(L49:L50)</f>
        <v>0</v>
      </c>
      <c r="V49" s="1">
        <f>S49+U50</f>
        <v>0</v>
      </c>
    </row>
    <row r="50" spans="1:22" ht="15" thickBot="1">
      <c r="A50" s="40"/>
      <c r="B50" s="28">
        <v>4</v>
      </c>
      <c r="C50" s="6"/>
      <c r="D50" s="7"/>
      <c r="E50" s="7"/>
      <c r="F50" s="7"/>
      <c r="G50" s="22"/>
      <c r="H50" s="23"/>
      <c r="I50" s="24"/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2" ht="15" thickBot="1">
      <c r="A51" s="47"/>
      <c r="B51" s="26" t="s">
        <v>38</v>
      </c>
      <c r="C51" s="1" t="s">
        <v>4</v>
      </c>
      <c r="D51" s="1" t="s">
        <v>28</v>
      </c>
      <c r="E51" s="1" t="s">
        <v>265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264</v>
      </c>
    </row>
    <row r="52" spans="1:22">
      <c r="A52" s="47"/>
      <c r="B52" s="27" t="s">
        <v>30</v>
      </c>
      <c r="C52" s="8">
        <v>2</v>
      </c>
      <c r="D52" s="1">
        <f>IF(C52,C52+Q46,"")</f>
        <v>180</v>
      </c>
      <c r="E52" s="72">
        <f>IF(C52,C52/D52,"")</f>
        <v>1.1111111111111112E-2</v>
      </c>
      <c r="F52" s="14" t="str">
        <f>IF(AND(C52&lt;&gt;"",N44&lt;&gt;""),(M46/F46*E44+M47/F47*D44)/(C52+Q46),"")</f>
        <v/>
      </c>
      <c r="G52" s="1">
        <f>IF(C52,IF(AND(F46&lt;&gt;0,C44&lt;&gt;0),M47,M47/F47*D44)/(C52+Q47),"")</f>
        <v>0.66666666666666663</v>
      </c>
      <c r="H52" s="1">
        <f>IF(C52,(M48)/(C52+Q48),"")</f>
        <v>1.2749999999999999</v>
      </c>
      <c r="I52" s="1">
        <f>IF(C52,(M49)/(C52+Q49),"")</f>
        <v>0</v>
      </c>
      <c r="J52" s="1">
        <f>IF(C52,(M50)/(C52+Q50),"")</f>
        <v>0</v>
      </c>
      <c r="K52" s="14" t="str">
        <f>IF(AND(C52&lt;&gt;"",N44&lt;&gt;""),9.8*N44*LN((C52+Q46)/(C52+R46)),"")</f>
        <v/>
      </c>
      <c r="L52" s="1">
        <f>IF(C52,9.8*F47*LN((C52+Q47)/(C52+R47)),"")</f>
        <v>4336.2779729860868</v>
      </c>
      <c r="M52" s="1">
        <f>IF(C52,9.8*F48*LN((C52+Q48)/(C52+R48)),"")</f>
        <v>6232.4682751001719</v>
      </c>
      <c r="N52" s="1">
        <f>IF(C52,9.8*F49*LN((C52+Q49)/(C52+R49)),"")</f>
        <v>0</v>
      </c>
      <c r="O52" s="1">
        <f>IF(C52,9.8*F50*LN((C52+Q50)/(C52+R50)),"")</f>
        <v>0</v>
      </c>
      <c r="P52" s="15">
        <f>IF(C52,SUM(K52:O52),"")</f>
        <v>10568.74624808626</v>
      </c>
      <c r="Q52" s="1" t="s">
        <v>470</v>
      </c>
      <c r="R52" s="1"/>
      <c r="S52" s="1"/>
      <c r="T52" s="32" t="str">
        <f>IF(OR(F52&lt;1,AND(F52="",G52&lt;1)),"起飞推重比不得小于0，空天飞机除外","")</f>
        <v>起飞推重比不得小于0，空天飞机除外</v>
      </c>
      <c r="U52" s="1"/>
      <c r="V52" s="1"/>
    </row>
    <row r="53" spans="1:22">
      <c r="A53" s="33" t="s">
        <v>47</v>
      </c>
      <c r="B53" s="27" t="s">
        <v>31</v>
      </c>
      <c r="C53" s="9"/>
      <c r="D53" s="1" t="str">
        <f>IF(C53,C53+Q46,"")</f>
        <v/>
      </c>
      <c r="E53" s="72" t="str">
        <f t="shared" ref="E53:E55" si="14">IF(C53,C53/D53,"")</f>
        <v/>
      </c>
      <c r="F53" s="14" t="str">
        <f>IF(AND(C53&lt;&gt;"",N44&lt;&gt;""),(M46/F46*E44+M47/F47*D44)/(C53+Q46),"")</f>
        <v/>
      </c>
      <c r="G53" s="1" t="str">
        <f>IF(C53,IF(AND(F46&lt;&gt;0,C44&lt;&gt;0),M47,M47/F47*D44)/(C53+Q47),"")</f>
        <v/>
      </c>
      <c r="H53" s="1" t="str">
        <f>IF(C53,(M48)/(C53+Q48),"")</f>
        <v/>
      </c>
      <c r="I53" s="1" t="str">
        <f>IF(C53,(M49)/(C53+Q49),"")</f>
        <v/>
      </c>
      <c r="J53" s="1" t="str">
        <f>IF(C53,(M50)/(C53+Q50),"")</f>
        <v/>
      </c>
      <c r="K53" s="14" t="str">
        <f>IF(AND(C53&lt;&gt;"",N44&lt;&gt;""),9.8*N44*LN((C53+Q46)/(C53+R46)),"")</f>
        <v/>
      </c>
      <c r="L53" s="1" t="str">
        <f>IF(C53,9.8*F47*LN((C53+Q47)/(C53+R47)),"")</f>
        <v/>
      </c>
      <c r="M53" s="1" t="str">
        <f>IF(C53,9.8*F48*LN((C53+Q48)/(C53+R48)),"")</f>
        <v/>
      </c>
      <c r="N53" s="1" t="str">
        <f>IF(C53,9.8*F49*LN((C53+Q49)/(C53+R49)),"")</f>
        <v/>
      </c>
      <c r="O53" s="1" t="str">
        <f>IF(C53,9.8*F50*LN((C53+Q50)/(C53+R50)),"")</f>
        <v/>
      </c>
      <c r="P53" s="15" t="str">
        <f>IF(C53,SUM(K53:O53),"")</f>
        <v/>
      </c>
      <c r="Q53" s="1" t="s">
        <v>471</v>
      </c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</row>
    <row r="54" spans="1:22">
      <c r="A54" s="40"/>
      <c r="B54" s="27" t="s">
        <v>36</v>
      </c>
      <c r="C54" s="9"/>
      <c r="D54" s="1" t="str">
        <f>IF(C54,C54+Q46,"")</f>
        <v/>
      </c>
      <c r="E54" s="72" t="str">
        <f t="shared" si="14"/>
        <v/>
      </c>
      <c r="F54" s="14" t="str">
        <f>IF(AND(C54&lt;&gt;"",N44&lt;&gt;""),(M46/F46*E44+M47/F47*D44)/(C54+Q46),"")</f>
        <v/>
      </c>
      <c r="G54" s="1" t="str">
        <f>IF(C54,IF(AND(F46&lt;&gt;0,C44&lt;&gt;0),M47,M47/F47*D44)/(C54+Q47),"")</f>
        <v/>
      </c>
      <c r="H54" s="1" t="str">
        <f>IF(C54,(M48)/(C54+Q48),"")</f>
        <v/>
      </c>
      <c r="I54" s="1" t="str">
        <f>IF(C54,(M49)/(C54+Q49),"")</f>
        <v/>
      </c>
      <c r="J54" s="1" t="str">
        <f>IF(C54,(M50)/(C54+Q50),"")</f>
        <v/>
      </c>
      <c r="K54" s="14" t="str">
        <f>IF(AND(C54&lt;&gt;"",N44&lt;&gt;""),9.8*N44*LN((C54+Q46)/(C54+R46)),"")</f>
        <v/>
      </c>
      <c r="L54" s="1" t="str">
        <f>IF(C54,9.8*F47*LN((C54+Q47)/(C54+R47)),"")</f>
        <v/>
      </c>
      <c r="M54" s="1" t="str">
        <f>IF(C54,9.8*F48*LN((C54+Q48)/(C54+R48)),"")</f>
        <v/>
      </c>
      <c r="N54" s="1" t="str">
        <f>IF(C54,9.8*F49*LN((C54+Q49)/(C54+R49)),"")</f>
        <v/>
      </c>
      <c r="O54" s="1" t="str">
        <f>IF(C54,9.8*F50*LN((C54+Q50)/(C54+R50)),"")</f>
        <v/>
      </c>
      <c r="P54" s="15" t="str">
        <f>IF(C54,SUM(K54:O54),"")</f>
        <v/>
      </c>
      <c r="Q54" s="1" t="s">
        <v>475</v>
      </c>
      <c r="R54" s="1"/>
      <c r="S54" s="1"/>
      <c r="T54" s="32" t="str">
        <f t="shared" si="15"/>
        <v/>
      </c>
      <c r="U54" s="1"/>
      <c r="V54" s="1"/>
    </row>
    <row r="55" spans="1:22" ht="15" thickBot="1">
      <c r="A55" s="47"/>
      <c r="B55" s="28" t="s">
        <v>5</v>
      </c>
      <c r="C55" s="10"/>
      <c r="D55" s="1" t="str">
        <f>IF(C55,C55+Q46,"")</f>
        <v/>
      </c>
      <c r="E55" s="72" t="str">
        <f t="shared" si="14"/>
        <v/>
      </c>
      <c r="F55" s="14" t="str">
        <f>IF(AND(C55&lt;&gt;"",N44&lt;&gt;""),(M46/F46*E44+M47/F47*D44)/(C55+Q46),"")</f>
        <v/>
      </c>
      <c r="G55" s="1" t="str">
        <f>IF(C55,IF(AND(F46&lt;&gt;0,C44&lt;&gt;0),M47,M47/F47*D44)/(C55+Q47),"")</f>
        <v/>
      </c>
      <c r="H55" s="1" t="str">
        <f>IF(C55,(M48)/(C55+Q48),"")</f>
        <v/>
      </c>
      <c r="I55" s="1" t="str">
        <f>IF(C55,(M49)/(C55+Q49),"")</f>
        <v/>
      </c>
      <c r="J55" s="1" t="str">
        <f>IF(C55,(M50)/(C55+Q50),"")</f>
        <v/>
      </c>
      <c r="K55" s="14" t="str">
        <f>IF(AND(C55&lt;&gt;"",N44&lt;&gt;""),9.8*N44*LN((C55+Q46)/(C55+R46)),"")</f>
        <v/>
      </c>
      <c r="L55" s="1" t="str">
        <f>IF(C55,9.8*F47*LN((C55+Q47)/(C55+R47)),"")</f>
        <v/>
      </c>
      <c r="M55" s="1" t="str">
        <f>IF(C55,9.8*F48*LN((C55+Q48)/(C55+R48)),"")</f>
        <v/>
      </c>
      <c r="N55" s="1" t="str">
        <f>IF(C55,9.8*F49*LN((C55+Q49)/(C55+R49)),"")</f>
        <v/>
      </c>
      <c r="O55" s="1" t="str">
        <f>IF(C55,9.8*F50*LN((C55+Q50)/(C55+R50)),"")</f>
        <v/>
      </c>
      <c r="P55" s="15" t="str">
        <f>IF(C55,SUM(K55:O55),"")</f>
        <v/>
      </c>
      <c r="Q55" s="17" t="s">
        <v>476</v>
      </c>
      <c r="R55" s="17"/>
      <c r="S55" s="17"/>
      <c r="T55" s="32" t="str">
        <f t="shared" si="15"/>
        <v/>
      </c>
      <c r="U55" s="1"/>
      <c r="V55" s="1"/>
    </row>
    <row r="56" spans="1:22" ht="15" thickBot="1">
      <c r="A56" s="33" t="s">
        <v>45</v>
      </c>
      <c r="B56" s="26" t="s">
        <v>37</v>
      </c>
      <c r="C56" s="1" t="s">
        <v>54</v>
      </c>
      <c r="D56" s="12" t="s">
        <v>28</v>
      </c>
      <c r="E56" s="12" t="s">
        <v>266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2">
      <c r="A57" s="40"/>
      <c r="B57" s="27" t="s">
        <v>30</v>
      </c>
      <c r="C57" s="8">
        <v>2</v>
      </c>
      <c r="D57" s="1">
        <f>IF(C57,C57+Q46,"")</f>
        <v>180</v>
      </c>
      <c r="E57" s="72">
        <f>IF(C57,C57/D57,"")</f>
        <v>1.1111111111111112E-2</v>
      </c>
      <c r="F57" s="14" t="str">
        <f>IF(AND(C57&lt;&gt;"",N44&lt;&gt;""),(M46/F46*E44+M47/F47*D44)/(C57+U46),"")</f>
        <v/>
      </c>
      <c r="G57" s="1">
        <f>IF(C57,IF(AND(F46&lt;&gt;0,C44&lt;&gt;0),M47,M47/F47*D44)/(C57+U47),"")</f>
        <v>0.66666666666666663</v>
      </c>
      <c r="H57" s="1">
        <f>IF(C57,(M48)/(C57+U48),"")</f>
        <v>1.2749999999999999</v>
      </c>
      <c r="I57" s="1">
        <f>IF(C57,(M49)/(C57+U49),"")</f>
        <v>0</v>
      </c>
      <c r="J57" s="1">
        <f>IF(C57,(M50)/(C57+U50),"")</f>
        <v>0</v>
      </c>
      <c r="K57" s="14" t="str">
        <f>IF(AND(C57&lt;&gt;"",N44&lt;&gt;""),9.8*N44*LN((C57+U46)/(C57+V46)),"")</f>
        <v/>
      </c>
      <c r="L57" s="1">
        <f>IF(C57,9.8*F47*LN((C57+U47)/(C57+V47)),"")</f>
        <v>4336.2779729860868</v>
      </c>
      <c r="M57" s="1">
        <f>IF(C57,9.8*F48*LN((C57+U48)/(C57+V48)),"")</f>
        <v>6232.4682751001719</v>
      </c>
      <c r="N57" s="1">
        <f>IF(C57,9.8*F49*LN((C57+U49)/(C57+V49)),"")</f>
        <v>0</v>
      </c>
      <c r="O57" s="1">
        <f>IF(C57,9.8*F50*LN((C57+U50)/(C57+V50)),"")</f>
        <v>0</v>
      </c>
      <c r="P57" s="15">
        <f>IF(C57,SUM(K57:O57),"")</f>
        <v>10568.74624808626</v>
      </c>
      <c r="Q57" s="1"/>
      <c r="R57" s="1"/>
      <c r="S57" s="1"/>
      <c r="T57" s="32" t="str">
        <f>IF(OR(F57&lt;1,AND(F57="",G57&lt;1)),"起飞推重比不得小于0，空天飞机除外","")</f>
        <v>起飞推重比不得小于0，空天飞机除外</v>
      </c>
      <c r="U57" s="1"/>
      <c r="V57" s="1"/>
    </row>
    <row r="58" spans="1:22">
      <c r="A58" s="47"/>
      <c r="B58" s="27" t="s">
        <v>31</v>
      </c>
      <c r="C58" s="9"/>
      <c r="D58" s="1" t="str">
        <f>IF(C58,C58+Q46,"")</f>
        <v/>
      </c>
      <c r="E58" s="72" t="str">
        <f t="shared" ref="E58:E60" si="16">IF(C58,C58/D58,"")</f>
        <v/>
      </c>
      <c r="F58" s="14" t="str">
        <f>IF(AND(C58&lt;&gt;"",N44&lt;&gt;""),(M46/F46*E44+M47/F47*D44)/(C58+U46),"")</f>
        <v/>
      </c>
      <c r="G58" s="1" t="str">
        <f>IF(C58,IF(AND(F46&lt;&gt;0,C44&lt;&gt;0),M47,M47/F47*D44)/(C58+U47),"")</f>
        <v/>
      </c>
      <c r="H58" s="1" t="str">
        <f>IF(C58,(M48)/(C58+U48),"")</f>
        <v/>
      </c>
      <c r="I58" s="1" t="str">
        <f>IF(C58,(M49)/(C58+U49),"")</f>
        <v/>
      </c>
      <c r="J58" s="1" t="str">
        <f>IF(C58,(M50)/(C58+U50),"")</f>
        <v/>
      </c>
      <c r="K58" s="14" t="str">
        <f>IF(AND(C58&lt;&gt;"",N44&lt;&gt;""),9.8*N44*LN((C58+U46)/(C58+V46)),"")</f>
        <v/>
      </c>
      <c r="L58" s="1" t="str">
        <f>IF(C58,9.8*F47*LN((C58+U47)/(C58+V47)),"")</f>
        <v/>
      </c>
      <c r="M58" s="1" t="str">
        <f>IF(C58,9.8*F48*LN((C58+U48)/(C58+V48)),"")</f>
        <v/>
      </c>
      <c r="N58" s="1" t="str">
        <f>IF(C58,9.8*F49*LN((C58+U49)/(C58+V49)),"")</f>
        <v/>
      </c>
      <c r="O58" s="1" t="str">
        <f>IF(C58,9.8*F50*LN((C58+U50)/(C58+V50)),"")</f>
        <v/>
      </c>
      <c r="P58" s="15" t="str">
        <f>IF(C58,SUM(K58:O58),"")</f>
        <v/>
      </c>
      <c r="Q58" s="1"/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2">
      <c r="A59" s="47"/>
      <c r="B59" s="27" t="s">
        <v>32</v>
      </c>
      <c r="C59" s="9"/>
      <c r="D59" s="1" t="str">
        <f>IF(C59,C59+Q46,"")</f>
        <v/>
      </c>
      <c r="E59" s="72" t="str">
        <f t="shared" si="16"/>
        <v/>
      </c>
      <c r="F59" s="14" t="str">
        <f>IF(AND(C59&lt;&gt;"",N44&lt;&gt;""),(M46/F46*E44+M47/F47*D44)/(C59+U46),"")</f>
        <v/>
      </c>
      <c r="G59" s="1" t="str">
        <f>IF(C59,IF(AND(F46&lt;&gt;0,C44&lt;&gt;0),M47,M47/F47*D44)/(C59+U47),"")</f>
        <v/>
      </c>
      <c r="H59" s="1" t="str">
        <f>IF(C59,(M48)/(C59+U48),"")</f>
        <v/>
      </c>
      <c r="I59" s="1" t="str">
        <f>IF(C59,(M49)/(C59+U49),"")</f>
        <v/>
      </c>
      <c r="J59" s="1" t="str">
        <f>IF(C59,(M50)/(C59+U50),"")</f>
        <v/>
      </c>
      <c r="K59" s="14" t="str">
        <f>IF(AND(C59&lt;&gt;"",N44&lt;&gt;""),9.8*N44*LN((C59+U46)/(C59+V46)),"")</f>
        <v/>
      </c>
      <c r="L59" s="1" t="str">
        <f>IF(C59,9.8*F47*LN((C59+U47)/(C59+V47)),"")</f>
        <v/>
      </c>
      <c r="M59" s="1" t="str">
        <f>IF(C59,9.8*F48*LN((C59+U48)/(C59+V48)),"")</f>
        <v/>
      </c>
      <c r="N59" s="1" t="str">
        <f>IF(C59,9.8*F49*LN((C59+U49)/(C59+V49)),"")</f>
        <v/>
      </c>
      <c r="O59" s="1" t="str">
        <f>IF(C59,9.8*F50*LN((C59+U50)/(C59+V50)),"")</f>
        <v/>
      </c>
      <c r="P59" s="15" t="str">
        <f>IF(C59,SUM(K59:O59),"")</f>
        <v/>
      </c>
      <c r="Q59" s="1"/>
      <c r="R59" s="1"/>
      <c r="S59" s="1"/>
      <c r="T59" s="32" t="str">
        <f t="shared" si="17"/>
        <v/>
      </c>
      <c r="U59" s="1"/>
      <c r="V59" s="1"/>
    </row>
    <row r="60" spans="1:22" ht="15" thickBot="1">
      <c r="A60" s="48" t="s">
        <v>46</v>
      </c>
      <c r="B60" s="49" t="s">
        <v>33</v>
      </c>
      <c r="C60" s="50"/>
      <c r="D60" s="25" t="str">
        <f>IF(C60,C60+Q46,"")</f>
        <v/>
      </c>
      <c r="E60" s="73" t="str">
        <f t="shared" si="16"/>
        <v/>
      </c>
      <c r="F60" s="70" t="str">
        <f>IF(AND(C60&lt;&gt;"",N44&lt;&gt;""),(M46/F46*E44+M47/F47*D44)/(C60+U46),"")</f>
        <v/>
      </c>
      <c r="G60" s="25" t="str">
        <f>IF(C60,IF(AND(F46&lt;&gt;0,C44&lt;&gt;0),M47,M47/F47*D44)/(C60+U47),"")</f>
        <v/>
      </c>
      <c r="H60" s="25" t="str">
        <f>IF(C60,(M48)/(C60+U48),"")</f>
        <v/>
      </c>
      <c r="I60" s="25" t="str">
        <f>IF(C60,(M49)/(C60+U49),"")</f>
        <v/>
      </c>
      <c r="J60" s="25" t="str">
        <f>IF(C60,(M50)/(C60+U50),"")</f>
        <v/>
      </c>
      <c r="K60" s="70" t="str">
        <f>IF(AND(C60&lt;&gt;"",N44&lt;&gt;""),9.8*N44*LN((C60+U46)/(C60+V46)),"")</f>
        <v/>
      </c>
      <c r="L60" s="25" t="str">
        <f>IF(C60,9.8*F47*LN((C60+U47)/(C60+V47)),"")</f>
        <v/>
      </c>
      <c r="M60" s="25" t="str">
        <f>IF(C60,9.8*F48*LN((C60+U48)/(C60+V48)),"")</f>
        <v/>
      </c>
      <c r="N60" s="25" t="str">
        <f>IF(C60,9.8*F49*LN((C60+U49)/(C60+V49)),"")</f>
        <v/>
      </c>
      <c r="O60" s="25" t="str">
        <f>IF(C60,9.8*F50*LN((C60+U50)/(C60+V50)),"")</f>
        <v/>
      </c>
      <c r="P60" s="71" t="str">
        <f>IF(C60,SUM(K60:O60),"")</f>
        <v/>
      </c>
      <c r="Q60" s="25"/>
      <c r="R60" s="25"/>
      <c r="S60" s="25"/>
      <c r="T60" s="51" t="str">
        <f t="shared" si="17"/>
        <v/>
      </c>
      <c r="U60" s="25"/>
      <c r="V60" s="25"/>
    </row>
    <row r="61" spans="1:22" ht="15" thickBot="1"/>
    <row r="62" spans="1:22" ht="15" thickBot="1">
      <c r="A62" s="52" t="s">
        <v>444</v>
      </c>
      <c r="B62" s="52"/>
      <c r="C62" s="29" t="s">
        <v>0</v>
      </c>
      <c r="D62" s="90" t="s">
        <v>41</v>
      </c>
      <c r="E62" s="90"/>
      <c r="F62" s="43"/>
      <c r="G62" s="43"/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2" ht="15" thickBot="1">
      <c r="A63" s="40" t="s">
        <v>445</v>
      </c>
      <c r="B63" s="39"/>
      <c r="C63" s="2">
        <v>0</v>
      </c>
      <c r="D63" s="2">
        <v>347</v>
      </c>
      <c r="E63" s="2">
        <v>0</v>
      </c>
      <c r="F63" s="41"/>
      <c r="G63" s="42"/>
      <c r="H63" s="42"/>
      <c r="I63" s="24" t="s">
        <v>465</v>
      </c>
      <c r="J63" s="24"/>
      <c r="K63" s="24"/>
      <c r="L63" s="55">
        <f>IFERROR(IF(AND(F65&lt;&gt;0,C63&lt;&gt;0),M65/F65*E63+M66/F66*D63,M66/F66*D63),0)</f>
        <v>1369.1628571428571</v>
      </c>
      <c r="M63" s="53" t="s">
        <v>45</v>
      </c>
      <c r="N63" s="17" t="str">
        <f>IF(AND(F65&lt;&gt;0,C63&lt;&gt;0),(M65+M66)/(M65/F65+M66/F66),"")</f>
        <v/>
      </c>
      <c r="O63" s="56" t="s">
        <v>46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2" ht="15" thickBot="1">
      <c r="A64" s="33" t="s">
        <v>45</v>
      </c>
      <c r="B64" s="26" t="s">
        <v>39</v>
      </c>
      <c r="C64" s="1" t="s">
        <v>1</v>
      </c>
      <c r="D64" s="1" t="s">
        <v>2</v>
      </c>
      <c r="E64" s="1" t="s">
        <v>7</v>
      </c>
      <c r="F64" s="1" t="s">
        <v>8</v>
      </c>
      <c r="G64" s="1" t="s">
        <v>43</v>
      </c>
      <c r="H64" s="1" t="s">
        <v>44</v>
      </c>
      <c r="I64" s="59" t="s">
        <v>464</v>
      </c>
      <c r="J64" s="24"/>
      <c r="K64" s="24"/>
      <c r="L64" s="11" t="s">
        <v>6</v>
      </c>
      <c r="M64" s="12" t="s">
        <v>69</v>
      </c>
      <c r="N64" s="12" t="s">
        <v>15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16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/>
      <c r="D65" s="4"/>
      <c r="E65" s="4"/>
      <c r="F65" s="4"/>
      <c r="G65" s="19"/>
      <c r="H65" s="20"/>
      <c r="I65" s="60" t="s">
        <v>463</v>
      </c>
      <c r="J65" s="24"/>
      <c r="K65" s="24"/>
      <c r="L65" s="14">
        <f>C65*C63</f>
        <v>0</v>
      </c>
      <c r="M65" s="1">
        <f>E65*C63</f>
        <v>0</v>
      </c>
      <c r="N65" s="1">
        <f>IF(D65,L65/D65,0)</f>
        <v>0</v>
      </c>
      <c r="O65" s="15">
        <f>L65-N65</f>
        <v>0</v>
      </c>
      <c r="P65" s="14">
        <f>IF(AND(F65&lt;&gt;0,C63&lt;&gt;0),O65/M65*F65/IF(G65,G65,1),0)</f>
        <v>0</v>
      </c>
      <c r="Q65" s="1">
        <f>SUM(L65:L69)</f>
        <v>964</v>
      </c>
      <c r="R65" s="15">
        <f>N65+Q66</f>
        <v>964</v>
      </c>
      <c r="S65" s="14">
        <f>N65+H65*O65</f>
        <v>0</v>
      </c>
      <c r="T65" s="1">
        <f>IF(AND(F65&lt;&gt;0,C63&lt;&gt;0),(1-H65)*O65/M65*F65/IF(G65,G65,1),0)</f>
        <v>0</v>
      </c>
      <c r="U65" s="1">
        <f>SUM(L65:L69)</f>
        <v>964</v>
      </c>
      <c r="V65" s="1">
        <f>S65+U66</f>
        <v>964</v>
      </c>
    </row>
    <row r="66" spans="1:22">
      <c r="A66" s="47"/>
      <c r="B66" s="27">
        <v>1</v>
      </c>
      <c r="C66" s="5">
        <v>964</v>
      </c>
      <c r="D66" s="1">
        <v>11</v>
      </c>
      <c r="E66" s="1">
        <v>1795.3</v>
      </c>
      <c r="F66" s="1">
        <v>455</v>
      </c>
      <c r="G66" s="5">
        <v>1</v>
      </c>
      <c r="H66" s="21">
        <v>0</v>
      </c>
      <c r="I66" s="30" t="s">
        <v>467</v>
      </c>
      <c r="J66" s="30"/>
      <c r="K66" s="30"/>
      <c r="L66" s="14">
        <f>C66</f>
        <v>964</v>
      </c>
      <c r="M66" s="1">
        <f>E66</f>
        <v>1795.3</v>
      </c>
      <c r="N66" s="1">
        <f>IF(D66,L66/D66,0)</f>
        <v>87.63636363636364</v>
      </c>
      <c r="O66" s="15">
        <f>L66-N66</f>
        <v>876.36363636363637</v>
      </c>
      <c r="P66" s="14">
        <f t="shared" ref="P66:P69" si="18">IF(F66,O66/M66*F66/IF(G66,G66,1),0)</f>
        <v>222.10519386478836</v>
      </c>
      <c r="Q66" s="1">
        <f>IF(F66,SUM(L66:L69)-P65*M66/F66*IF(G66,G66,1),0)</f>
        <v>964</v>
      </c>
      <c r="R66" s="15">
        <f>N66+Q67</f>
        <v>87.63636363636364</v>
      </c>
      <c r="S66" s="14">
        <f>N66+H66*O66</f>
        <v>87.63636363636364</v>
      </c>
      <c r="T66" s="1">
        <f>IF(F66,(1-H66)*O66/M66*F66/IF(G66,G66,1),0)</f>
        <v>222.10519386478836</v>
      </c>
      <c r="U66" s="1">
        <f>IF(F66,SUM(L66:L69)-T65*M66/F66*IF(G66,G66,1),0)</f>
        <v>964</v>
      </c>
      <c r="V66" s="1">
        <f>S66+U67</f>
        <v>87.63636363636364</v>
      </c>
    </row>
    <row r="67" spans="1:22">
      <c r="A67" s="47"/>
      <c r="B67" s="27">
        <v>2</v>
      </c>
      <c r="C67" s="5"/>
      <c r="D67" s="1"/>
      <c r="E67" s="1"/>
      <c r="F67" s="1"/>
      <c r="G67" s="5"/>
      <c r="H67" s="21"/>
      <c r="I67" s="30"/>
      <c r="J67" s="30"/>
      <c r="K67" s="30"/>
      <c r="L67" s="14">
        <f>C67</f>
        <v>0</v>
      </c>
      <c r="M67" s="1">
        <f>E67</f>
        <v>0</v>
      </c>
      <c r="N67" s="1">
        <f>IF(D67,L67/D67,0)</f>
        <v>0</v>
      </c>
      <c r="O67" s="15">
        <f>L67-N67</f>
        <v>0</v>
      </c>
      <c r="P67" s="14">
        <f t="shared" si="18"/>
        <v>0</v>
      </c>
      <c r="Q67" s="1">
        <f>SUM(L67:L69)</f>
        <v>0</v>
      </c>
      <c r="R67" s="15">
        <f>N67+Q68</f>
        <v>0</v>
      </c>
      <c r="S67" s="14">
        <f>N67+H67*O67</f>
        <v>0</v>
      </c>
      <c r="T67" s="1">
        <f t="shared" ref="T67:T69" si="19">IF(F67,(1-H67)*O67/M67*F67/IF(G67,G67,1),0)</f>
        <v>0</v>
      </c>
      <c r="U67" s="1">
        <f>SUM(L67:L69)</f>
        <v>0</v>
      </c>
      <c r="V67" s="1">
        <f>S67+U68</f>
        <v>0</v>
      </c>
    </row>
    <row r="68" spans="1:22">
      <c r="A68" s="33" t="s">
        <v>45</v>
      </c>
      <c r="B68" s="27">
        <v>3</v>
      </c>
      <c r="C68" s="5"/>
      <c r="D68" s="1"/>
      <c r="E68" s="1"/>
      <c r="F68" s="1"/>
      <c r="G68" s="5"/>
      <c r="H68" s="21"/>
      <c r="I68" s="30"/>
      <c r="J68" s="30"/>
      <c r="K68" s="30"/>
      <c r="L68" s="14">
        <f>C68</f>
        <v>0</v>
      </c>
      <c r="M68" s="1">
        <f>E68</f>
        <v>0</v>
      </c>
      <c r="N68" s="1">
        <f>IF(D68,L68/D68,0)</f>
        <v>0</v>
      </c>
      <c r="O68" s="15">
        <f>L68-N68</f>
        <v>0</v>
      </c>
      <c r="P68" s="14">
        <f t="shared" si="18"/>
        <v>0</v>
      </c>
      <c r="Q68" s="1">
        <f>SUM(L68:L69)</f>
        <v>0</v>
      </c>
      <c r="R68" s="15">
        <f>N68+Q69</f>
        <v>0</v>
      </c>
      <c r="S68" s="14">
        <f>N68+H68*O68</f>
        <v>0</v>
      </c>
      <c r="T68" s="1">
        <f t="shared" si="19"/>
        <v>0</v>
      </c>
      <c r="U68" s="1">
        <f>SUM(L68:L69)</f>
        <v>0</v>
      </c>
      <c r="V68" s="1">
        <f>S68+U69</f>
        <v>0</v>
      </c>
    </row>
    <row r="69" spans="1:22" ht="15" thickBot="1">
      <c r="A69" s="40"/>
      <c r="B69" s="28">
        <v>4</v>
      </c>
      <c r="C69" s="6"/>
      <c r="D69" s="7"/>
      <c r="E69" s="7"/>
      <c r="F69" s="7"/>
      <c r="G69" s="22"/>
      <c r="H69" s="23"/>
      <c r="I69" s="24"/>
      <c r="J69" s="24"/>
      <c r="K69" s="24"/>
      <c r="L69" s="16">
        <f>C69</f>
        <v>0</v>
      </c>
      <c r="M69" s="17">
        <f>E69</f>
        <v>0</v>
      </c>
      <c r="N69" s="17">
        <f>IF(D69,L69/D69,0)</f>
        <v>0</v>
      </c>
      <c r="O69" s="18">
        <f>L69-N69</f>
        <v>0</v>
      </c>
      <c r="P69" s="14">
        <f t="shared" si="18"/>
        <v>0</v>
      </c>
      <c r="Q69" s="17">
        <f>SUM(L69:L69)</f>
        <v>0</v>
      </c>
      <c r="R69" s="18">
        <f>N69</f>
        <v>0</v>
      </c>
      <c r="S69" s="16">
        <f>N69+H69*O69</f>
        <v>0</v>
      </c>
      <c r="T69" s="17">
        <f t="shared" si="19"/>
        <v>0</v>
      </c>
      <c r="U69" s="17">
        <f>SUM(L69:L69)</f>
        <v>0</v>
      </c>
      <c r="V69" s="17">
        <f>S69</f>
        <v>0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265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264</v>
      </c>
    </row>
    <row r="71" spans="1:22">
      <c r="A71" s="47"/>
      <c r="B71" s="27" t="s">
        <v>30</v>
      </c>
      <c r="C71" s="8">
        <v>26.8</v>
      </c>
      <c r="D71" s="1">
        <f>IF(C71,C71+Q65,"")</f>
        <v>990.8</v>
      </c>
      <c r="E71" s="72">
        <f>IF(C71,C71/D71,"")</f>
        <v>2.7048849414614454E-2</v>
      </c>
      <c r="F71" s="14" t="str">
        <f>IF(AND(C71&lt;&gt;"",N63&lt;&gt;""),(M65/F65*E63+M66/F66*D63)/(C71+Q65),"")</f>
        <v/>
      </c>
      <c r="G71" s="1">
        <f>IF(C71,IF(AND(F65&lt;&gt;0,C63&lt;&gt;0),M66,M66/F66*D63)/(C71+Q66),"")</f>
        <v>1.3818761174231502</v>
      </c>
      <c r="H71" s="1">
        <f>IF(C71,(M67)/(C71+Q67),"")</f>
        <v>0</v>
      </c>
      <c r="I71" s="1">
        <f>IF(C71,(M68)/(C71+Q68),"")</f>
        <v>0</v>
      </c>
      <c r="J71" s="1">
        <f>IF(C71,(M69)/(C71+Q69),"")</f>
        <v>0</v>
      </c>
      <c r="K71" s="14" t="str">
        <f>IF(AND(C71&lt;&gt;"",N63&lt;&gt;""),9.8*N63*LN((C71+Q65)/(C71+R65)),"")</f>
        <v/>
      </c>
      <c r="L71" s="1">
        <f>IF(C71,9.8*F66*LN((C71+Q66)/(C71+R66)),"")</f>
        <v>9624.7238774907983</v>
      </c>
      <c r="M71" s="1">
        <f>IF(C71,9.8*F67*LN((C71+Q67)/(C71+R67)),"")</f>
        <v>0</v>
      </c>
      <c r="N71" s="1">
        <f>IF(C71,9.8*F68*LN((C71+Q68)/(C71+R68)),"")</f>
        <v>0</v>
      </c>
      <c r="O71" s="1">
        <f>IF(C71,9.8*F69*LN((C71+Q69)/(C71+R69)),"")</f>
        <v>0</v>
      </c>
      <c r="P71" s="15">
        <f>IF(C71,SUM(K71:O71),"")</f>
        <v>9624.7238774907983</v>
      </c>
      <c r="Q71" s="1" t="s">
        <v>468</v>
      </c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47</v>
      </c>
      <c r="B72" s="27" t="s">
        <v>31</v>
      </c>
      <c r="C72" s="9"/>
      <c r="D72" s="1" t="str">
        <f>IF(C72,C72+Q65,"")</f>
        <v/>
      </c>
      <c r="E72" s="72" t="str">
        <f t="shared" ref="E72:E74" si="20">IF(C72,C72/D72,"")</f>
        <v/>
      </c>
      <c r="F72" s="14" t="str">
        <f>IF(AND(C72&lt;&gt;"",N63&lt;&gt;""),(M65/F65*E63+M66/F66*D63)/(C72+Q65),"")</f>
        <v/>
      </c>
      <c r="G72" s="1" t="str">
        <f>IF(C72,IF(AND(F65&lt;&gt;0,C63&lt;&gt;0),M66,M66/F66*D63)/(C72+Q66),"")</f>
        <v/>
      </c>
      <c r="H72" s="1" t="str">
        <f>IF(C72,(M67)/(C72+Q67),"")</f>
        <v/>
      </c>
      <c r="I72" s="1" t="str">
        <f>IF(C72,(M68)/(C72+Q68),"")</f>
        <v/>
      </c>
      <c r="J72" s="1" t="str">
        <f>IF(C72,(M69)/(C72+Q69),"")</f>
        <v/>
      </c>
      <c r="K72" s="14" t="str">
        <f>IF(AND(C72&lt;&gt;"",N63&lt;&gt;""),9.8*N63*LN((C72+Q65)/(C72+R65)),"")</f>
        <v/>
      </c>
      <c r="L72" s="1" t="str">
        <f>IF(C72,9.8*F66*LN((C72+Q66)/(C72+R66)),"")</f>
        <v/>
      </c>
      <c r="M72" s="1" t="str">
        <f>IF(C72,9.8*F67*LN((C72+Q67)/(C72+R67)),"")</f>
        <v/>
      </c>
      <c r="N72" s="1" t="str">
        <f>IF(C72,9.8*F68*LN((C72+Q68)/(C72+R68)),"")</f>
        <v/>
      </c>
      <c r="O72" s="1" t="str">
        <f>IF(C72,9.8*F69*LN((C72+Q69)/(C72+R69)),"")</f>
        <v/>
      </c>
      <c r="P72" s="15" t="str">
        <f>IF(C72,SUM(K72:O72),"")</f>
        <v/>
      </c>
      <c r="Q72" s="1" t="s">
        <v>477</v>
      </c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36</v>
      </c>
      <c r="C73" s="9"/>
      <c r="D73" s="1" t="str">
        <f>IF(C73,C73+Q65,"")</f>
        <v/>
      </c>
      <c r="E73" s="72" t="str">
        <f t="shared" si="20"/>
        <v/>
      </c>
      <c r="F73" s="14" t="str">
        <f>IF(AND(C73&lt;&gt;"",N63&lt;&gt;""),(M65/F65*E63+M66/F66*D63)/(C73+Q65),"")</f>
        <v/>
      </c>
      <c r="G73" s="1" t="str">
        <f>IF(C73,IF(AND(F65&lt;&gt;0,C63&lt;&gt;0),M66,M66/F66*D63)/(C73+Q66),"")</f>
        <v/>
      </c>
      <c r="H73" s="1" t="str">
        <f>IF(C73,(M67)/(C73+Q67),"")</f>
        <v/>
      </c>
      <c r="I73" s="1" t="str">
        <f>IF(C73,(M68)/(C73+Q68),"")</f>
        <v/>
      </c>
      <c r="J73" s="1" t="str">
        <f>IF(C73,(M69)/(C73+Q69),"")</f>
        <v/>
      </c>
      <c r="K73" s="14" t="str">
        <f>IF(AND(C73&lt;&gt;"",N63&lt;&gt;""),9.8*N63*LN((C73+Q65)/(C73+R65)),"")</f>
        <v/>
      </c>
      <c r="L73" s="1" t="str">
        <f>IF(C73,9.8*F66*LN((C73+Q66)/(C73+R66)),"")</f>
        <v/>
      </c>
      <c r="M73" s="1" t="str">
        <f>IF(C73,9.8*F67*LN((C73+Q67)/(C73+R67)),"")</f>
        <v/>
      </c>
      <c r="N73" s="1" t="str">
        <f>IF(C73,9.8*F68*LN((C73+Q68)/(C73+R68)),"")</f>
        <v/>
      </c>
      <c r="O73" s="1" t="str">
        <f>IF(C73,9.8*F69*LN((C73+Q69)/(C73+R69)),"")</f>
        <v/>
      </c>
      <c r="P73" s="15" t="str">
        <f>IF(C73,SUM(K73:O73),"")</f>
        <v/>
      </c>
      <c r="Q73" s="1"/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/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9</v>
      </c>
      <c r="D75" s="12" t="s">
        <v>28</v>
      </c>
      <c r="E75" s="12" t="s">
        <v>266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>
        <v>26.8</v>
      </c>
      <c r="D76" s="1">
        <f>IF(C76,C76+Q65,"")</f>
        <v>990.8</v>
      </c>
      <c r="E76" s="72">
        <f>IF(C76,C76/D76,"")</f>
        <v>2.7048849414614454E-2</v>
      </c>
      <c r="F76" s="14" t="str">
        <f>IF(AND(C76&lt;&gt;"",N63&lt;&gt;""),(M65/F65*E63+M66/F66*D63)/(C76+U65),"")</f>
        <v/>
      </c>
      <c r="G76" s="1">
        <f>IF(C76,IF(AND(F65&lt;&gt;0,C63&lt;&gt;0),M66,M66/F66*D63)/(C76+U66),"")</f>
        <v>1.3818761174231502</v>
      </c>
      <c r="H76" s="1">
        <f>IF(C76,(M67)/(C76+U67),"")</f>
        <v>0</v>
      </c>
      <c r="I76" s="1">
        <f>IF(C76,(M68)/(C76+U68),"")</f>
        <v>0</v>
      </c>
      <c r="J76" s="1">
        <f>IF(C76,(M69)/(C76+U69),"")</f>
        <v>0</v>
      </c>
      <c r="K76" s="14" t="str">
        <f>IF(AND(C76&lt;&gt;"",N63&lt;&gt;""),9.8*N63*LN((C76+U65)/(C76+V65)),"")</f>
        <v/>
      </c>
      <c r="L76" s="1">
        <f>IF(C76,9.8*F66*LN((C76+U66)/(C76+V66)),"")</f>
        <v>9624.7238774907983</v>
      </c>
      <c r="M76" s="1">
        <f>IF(C76,9.8*F67*LN((C76+U67)/(C76+V67)),"")</f>
        <v>0</v>
      </c>
      <c r="N76" s="1">
        <f>IF(C76,9.8*F68*LN((C76+U68)/(C76+V68)),"")</f>
        <v>0</v>
      </c>
      <c r="O76" s="1">
        <f>IF(C76,9.8*F69*LN((C76+U69)/(C76+V69)),"")</f>
        <v>0</v>
      </c>
      <c r="P76" s="15">
        <f>IF(C76,SUM(K76:O76),"")</f>
        <v>9624.7238774907983</v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/>
      <c r="D77" s="1" t="str">
        <f>IF(C77,C77+Q65,"")</f>
        <v/>
      </c>
      <c r="E77" s="72" t="str">
        <f t="shared" ref="E77:E79" si="22">IF(C77,C77/D77,"")</f>
        <v/>
      </c>
      <c r="F77" s="14" t="str">
        <f>IF(AND(C77&lt;&gt;"",N63&lt;&gt;""),(M65/F65*E63+M66/F66*D63)/(C77+U65),"")</f>
        <v/>
      </c>
      <c r="G77" s="1" t="str">
        <f>IF(C77,IF(AND(F65&lt;&gt;0,C63&lt;&gt;0),M66,M66/F66*D63)/(C77+U66),"")</f>
        <v/>
      </c>
      <c r="H77" s="1" t="str">
        <f>IF(C77,(M67)/(C77+U67),"")</f>
        <v/>
      </c>
      <c r="I77" s="1" t="str">
        <f>IF(C77,(M68)/(C77+U68),"")</f>
        <v/>
      </c>
      <c r="J77" s="1" t="str">
        <f>IF(C77,(M69)/(C77+U69),"")</f>
        <v/>
      </c>
      <c r="K77" s="14" t="str">
        <f>IF(AND(C77&lt;&gt;"",N63&lt;&gt;""),9.8*N63*LN((C77+U65)/(C77+V65)),"")</f>
        <v/>
      </c>
      <c r="L77" s="1" t="str">
        <f>IF(C77,9.8*F66*LN((C77+U66)/(C77+V66)),"")</f>
        <v/>
      </c>
      <c r="M77" s="1" t="str">
        <f>IF(C77,9.8*F67*LN((C77+U67)/(C77+V67)),"")</f>
        <v/>
      </c>
      <c r="N77" s="1" t="str">
        <f>IF(C77,9.8*F68*LN((C77+U68)/(C77+V68)),"")</f>
        <v/>
      </c>
      <c r="O77" s="1" t="str">
        <f>IF(C77,9.8*F69*LN((C77+U69)/(C77+V69)),"")</f>
        <v/>
      </c>
      <c r="P77" s="15" t="str">
        <f>IF(C77,SUM(K77:O77),"")</f>
        <v/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/>
      <c r="D78" s="1" t="str">
        <f>IF(C78,C78+Q65,"")</f>
        <v/>
      </c>
      <c r="E78" s="72" t="str">
        <f t="shared" si="22"/>
        <v/>
      </c>
      <c r="F78" s="14" t="str">
        <f>IF(AND(C78&lt;&gt;"",N63&lt;&gt;""),(M65/F65*E63+M66/F66*D63)/(C78+U65),"")</f>
        <v/>
      </c>
      <c r="G78" s="1" t="str">
        <f>IF(C78,IF(AND(F65&lt;&gt;0,C63&lt;&gt;0),M66,M66/F66*D63)/(C78+U66),"")</f>
        <v/>
      </c>
      <c r="H78" s="1" t="str">
        <f>IF(C78,(M67)/(C78+U67),"")</f>
        <v/>
      </c>
      <c r="I78" s="1" t="str">
        <f>IF(C78,(M68)/(C78+U68),"")</f>
        <v/>
      </c>
      <c r="J78" s="1" t="str">
        <f>IF(C78,(M69)/(C78+U69),"")</f>
        <v/>
      </c>
      <c r="K78" s="14" t="str">
        <f>IF(AND(C78&lt;&gt;"",N63&lt;&gt;""),9.8*N63*LN((C78+U65)/(C78+V65)),"")</f>
        <v/>
      </c>
      <c r="L78" s="1" t="str">
        <f>IF(C78,9.8*F66*LN((C78+U66)/(C78+V66)),"")</f>
        <v/>
      </c>
      <c r="M78" s="1" t="str">
        <f>IF(C78,9.8*F67*LN((C78+U67)/(C78+V67)),"")</f>
        <v/>
      </c>
      <c r="N78" s="1" t="str">
        <f>IF(C78,9.8*F68*LN((C78+U68)/(C78+V68)),"")</f>
        <v/>
      </c>
      <c r="O78" s="1" t="str">
        <f>IF(C78,9.8*F69*LN((C78+U69)/(C78+V69)),"")</f>
        <v/>
      </c>
      <c r="P78" s="15" t="str">
        <f>IF(C78,SUM(K78:O78),"")</f>
        <v/>
      </c>
      <c r="Q78" s="1"/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46</v>
      </c>
      <c r="B79" s="49" t="s">
        <v>33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447</v>
      </c>
      <c r="B81" s="52"/>
      <c r="C81" s="29" t="s">
        <v>0</v>
      </c>
      <c r="D81" s="90" t="s">
        <v>41</v>
      </c>
      <c r="E81" s="90"/>
      <c r="F81" s="43"/>
      <c r="G81" s="43"/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446</v>
      </c>
      <c r="B82" s="39"/>
      <c r="C82" s="2">
        <v>0</v>
      </c>
      <c r="D82" s="2">
        <v>415</v>
      </c>
      <c r="E82" s="2">
        <v>0</v>
      </c>
      <c r="F82" s="41"/>
      <c r="G82" s="42"/>
      <c r="H82" s="42"/>
      <c r="I82" s="24" t="s">
        <v>469</v>
      </c>
      <c r="J82" s="24"/>
      <c r="K82" s="24"/>
      <c r="L82" s="55">
        <f>IFERROR(IF(AND(F84&lt;&gt;0,C82&lt;&gt;0),M84/F84*E82+M85/F85*D82,M85/F85*D82),0)</f>
        <v>400</v>
      </c>
      <c r="M82" s="53" t="s">
        <v>45</v>
      </c>
      <c r="N82" s="17" t="str">
        <f>IF(AND(F84&lt;&gt;0,C82&lt;&gt;0),(M84+M85)/(M84/F84+M85/F85),"")</f>
        <v/>
      </c>
      <c r="O82" s="56" t="s">
        <v>46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60</v>
      </c>
      <c r="D83" s="1" t="s">
        <v>61</v>
      </c>
      <c r="E83" s="1" t="s">
        <v>62</v>
      </c>
      <c r="F83" s="1" t="s">
        <v>63</v>
      </c>
      <c r="G83" s="1" t="s">
        <v>64</v>
      </c>
      <c r="H83" s="1" t="s">
        <v>65</v>
      </c>
      <c r="I83" s="59" t="s">
        <v>461</v>
      </c>
      <c r="J83" s="24"/>
      <c r="K83" s="24"/>
      <c r="L83" s="11" t="s">
        <v>6</v>
      </c>
      <c r="M83" s="12" t="s">
        <v>69</v>
      </c>
      <c r="N83" s="12" t="s">
        <v>15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16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/>
      <c r="D84" s="4"/>
      <c r="E84" s="4"/>
      <c r="F84" s="4"/>
      <c r="G84" s="19"/>
      <c r="H84" s="20"/>
      <c r="I84" s="24" t="s">
        <v>458</v>
      </c>
      <c r="J84" s="24"/>
      <c r="K84" s="24"/>
      <c r="L84" s="14">
        <f>C84*C82</f>
        <v>0</v>
      </c>
      <c r="M84" s="1">
        <f>E84*C82</f>
        <v>0</v>
      </c>
      <c r="N84" s="1">
        <f>IF(D84,L84/D84,0)</f>
        <v>0</v>
      </c>
      <c r="O84" s="15">
        <f>L84-N84</f>
        <v>0</v>
      </c>
      <c r="P84" s="14">
        <f>IF(AND(F84&lt;&gt;0,C82&lt;&gt;0),O84/M84*F84/IF(G84,G84,1),0)</f>
        <v>0</v>
      </c>
      <c r="Q84" s="1">
        <f>SUM(L84:L88)</f>
        <v>257</v>
      </c>
      <c r="R84" s="15">
        <f>N84+Q85</f>
        <v>257</v>
      </c>
      <c r="S84" s="14">
        <f>N84+H84*O84</f>
        <v>0</v>
      </c>
      <c r="T84" s="1">
        <f>IF(AND(F84&lt;&gt;0,C82&lt;&gt;0),(1-H84)*O84/M84*F84/IF(G84,G84,1),0)</f>
        <v>0</v>
      </c>
      <c r="U84" s="1">
        <f>SUM(L84:L88)</f>
        <v>257</v>
      </c>
      <c r="V84" s="1">
        <f>S84+U85</f>
        <v>257</v>
      </c>
    </row>
    <row r="85" spans="1:22">
      <c r="A85" s="47"/>
      <c r="B85" s="27">
        <v>1</v>
      </c>
      <c r="C85" s="5">
        <v>133</v>
      </c>
      <c r="D85" s="1">
        <v>66.5</v>
      </c>
      <c r="E85" s="1">
        <v>400</v>
      </c>
      <c r="F85" s="1">
        <v>415</v>
      </c>
      <c r="G85" s="5">
        <v>1</v>
      </c>
      <c r="H85" s="21"/>
      <c r="I85" s="30" t="s">
        <v>456</v>
      </c>
      <c r="J85" s="30"/>
      <c r="K85" s="30"/>
      <c r="L85" s="14">
        <f>C85</f>
        <v>133</v>
      </c>
      <c r="M85" s="1">
        <f>E85</f>
        <v>400</v>
      </c>
      <c r="N85" s="1">
        <f>IF(D85,L85/D85,0)</f>
        <v>2</v>
      </c>
      <c r="O85" s="15">
        <f>L85-N85</f>
        <v>131</v>
      </c>
      <c r="P85" s="14">
        <f t="shared" ref="P85:P88" si="24">IF(F85,O85/M85*F85/IF(G85,G85,1),0)</f>
        <v>135.91249999999999</v>
      </c>
      <c r="Q85" s="1">
        <f>IF(F85,SUM(L85:L88)-P84*M85/F85*IF(G85,G85,1),0)</f>
        <v>257</v>
      </c>
      <c r="R85" s="15">
        <f>N85+Q86</f>
        <v>126</v>
      </c>
      <c r="S85" s="14">
        <f>N85+H85*O85</f>
        <v>2</v>
      </c>
      <c r="T85" s="1">
        <f>IF(F85,(1-H85)*O85/M85*F85/IF(G85,G85,1),0)</f>
        <v>135.91249999999999</v>
      </c>
      <c r="U85" s="1">
        <f>IF(F85,SUM(L85:L88)-T84*M85/F85*IF(G85,G85,1),0)</f>
        <v>257</v>
      </c>
      <c r="V85" s="1">
        <f>S85+U86</f>
        <v>126</v>
      </c>
    </row>
    <row r="86" spans="1:22">
      <c r="A86" s="47"/>
      <c r="B86" s="27">
        <v>2</v>
      </c>
      <c r="C86" s="5">
        <v>124</v>
      </c>
      <c r="D86" s="1">
        <v>6.8890000000000002</v>
      </c>
      <c r="E86" s="1">
        <v>160</v>
      </c>
      <c r="F86" s="1">
        <v>460</v>
      </c>
      <c r="G86" s="5"/>
      <c r="H86" s="21"/>
      <c r="I86" s="30" t="s">
        <v>457</v>
      </c>
      <c r="J86" s="30"/>
      <c r="K86" s="30"/>
      <c r="L86" s="14">
        <f>C86</f>
        <v>124</v>
      </c>
      <c r="M86" s="1">
        <f>E86</f>
        <v>160</v>
      </c>
      <c r="N86" s="1">
        <f>IF(D86,L86/D86,0)</f>
        <v>17.999709682101901</v>
      </c>
      <c r="O86" s="15">
        <f>L86-N86</f>
        <v>106.00029031789811</v>
      </c>
      <c r="P86" s="14">
        <f t="shared" si="24"/>
        <v>304.75083466395705</v>
      </c>
      <c r="Q86" s="1">
        <f>SUM(L86:L88)</f>
        <v>124</v>
      </c>
      <c r="R86" s="15">
        <f>N86+Q87</f>
        <v>17.999709682101901</v>
      </c>
      <c r="S86" s="14">
        <f>N86+H86*O86</f>
        <v>17.999709682101901</v>
      </c>
      <c r="T86" s="1">
        <f t="shared" ref="T86:T88" si="25">IF(F86,(1-H86)*O86/M86*F86/IF(G86,G86,1),0)</f>
        <v>304.75083466395705</v>
      </c>
      <c r="U86" s="1">
        <f>SUM(L86:L88)</f>
        <v>124</v>
      </c>
      <c r="V86" s="1">
        <f>S86+U87</f>
        <v>17.999709682101901</v>
      </c>
    </row>
    <row r="87" spans="1:22">
      <c r="A87" s="33" t="s">
        <v>45</v>
      </c>
      <c r="B87" s="27">
        <v>3</v>
      </c>
      <c r="C87" s="5"/>
      <c r="D87" s="1"/>
      <c r="E87" s="1"/>
      <c r="F87" s="1"/>
      <c r="G87" s="5"/>
      <c r="H87" s="21"/>
      <c r="I87" s="59" t="s">
        <v>462</v>
      </c>
      <c r="J87" s="30"/>
      <c r="K87" s="30"/>
      <c r="L87" s="14">
        <f>C87</f>
        <v>0</v>
      </c>
      <c r="M87" s="1">
        <f>E87</f>
        <v>0</v>
      </c>
      <c r="N87" s="1">
        <f>IF(D87,L87/D87,0)</f>
        <v>0</v>
      </c>
      <c r="O87" s="15">
        <f>L87-N87</f>
        <v>0</v>
      </c>
      <c r="P87" s="14">
        <f t="shared" si="24"/>
        <v>0</v>
      </c>
      <c r="Q87" s="1">
        <f>SUM(L87:L88)</f>
        <v>0</v>
      </c>
      <c r="R87" s="15">
        <f>N87+Q88</f>
        <v>0</v>
      </c>
      <c r="S87" s="14">
        <f>N87+H87*O87</f>
        <v>0</v>
      </c>
      <c r="T87" s="1">
        <f t="shared" si="25"/>
        <v>0</v>
      </c>
      <c r="U87" s="1">
        <f>SUM(L87:L88)</f>
        <v>0</v>
      </c>
      <c r="V87" s="1">
        <f>S87+U88</f>
        <v>0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265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85" t="s">
        <v>42</v>
      </c>
      <c r="R89" s="85"/>
      <c r="S89" s="85"/>
      <c r="T89" s="31" t="s">
        <v>50</v>
      </c>
      <c r="U89" s="35" t="s">
        <v>47</v>
      </c>
      <c r="V89" s="36" t="s">
        <v>264</v>
      </c>
    </row>
    <row r="90" spans="1:22">
      <c r="A90" s="47"/>
      <c r="B90" s="27" t="s">
        <v>30</v>
      </c>
      <c r="C90" s="8">
        <v>18</v>
      </c>
      <c r="D90" s="1">
        <f>IF(C90,C90+Q84,"")</f>
        <v>275</v>
      </c>
      <c r="E90" s="72">
        <f>IF(C90,C90/D90,"")</f>
        <v>6.545454545454546E-2</v>
      </c>
      <c r="F90" s="14" t="str">
        <f>IF(AND(C90&lt;&gt;"",N82&lt;&gt;""),(M84/F84*E82+M85/F85*D82)/(C90+Q84),"")</f>
        <v/>
      </c>
      <c r="G90" s="1">
        <f>IF(C90,IF(AND(F84&lt;&gt;0,C82&lt;&gt;0),M85,M85/F85*D82)/(C90+Q85),"")</f>
        <v>1.4545454545454546</v>
      </c>
      <c r="H90" s="1">
        <f>IF(C90,(M86)/(C90+Q86),"")</f>
        <v>1.1267605633802817</v>
      </c>
      <c r="I90" s="1">
        <f>IF(C90,(M87)/(C90+Q87),"")</f>
        <v>0</v>
      </c>
      <c r="J90" s="1">
        <f>IF(C90,(M88)/(C90+Q88),"")</f>
        <v>0</v>
      </c>
      <c r="K90" s="14" t="str">
        <f>IF(AND(C90&lt;&gt;"",N82&lt;&gt;""),9.8*N82*LN((C90+Q84)/(C90+R84)),"")</f>
        <v/>
      </c>
      <c r="L90" s="1">
        <f>IF(C90,9.8*F85*LN((C90+Q85)/(C90+R85)),"")</f>
        <v>2631.1773648343515</v>
      </c>
      <c r="M90" s="1">
        <f>IF(C90,9.8*F86*LN((C90+Q86)/(C90+R86)),"")</f>
        <v>6186.4013555052779</v>
      </c>
      <c r="N90" s="1">
        <f>IF(C90,9.8*F87*LN((C90+Q87)/(C90+R87)),"")</f>
        <v>0</v>
      </c>
      <c r="O90" s="1">
        <f>IF(C90,9.8*F88*LN((C90+Q88)/(C90+R88)),"")</f>
        <v>0</v>
      </c>
      <c r="P90" s="15">
        <f>IF(C90,SUM(K90:O90),"")</f>
        <v>8817.5787203396285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47</v>
      </c>
      <c r="B91" s="27" t="s">
        <v>31</v>
      </c>
      <c r="C91" s="9"/>
      <c r="D91" s="1" t="str">
        <f>IF(C91,C91+Q84,"")</f>
        <v/>
      </c>
      <c r="E91" s="72" t="str">
        <f t="shared" ref="E91:E93" si="26">IF(C91,C91/D91,"")</f>
        <v/>
      </c>
      <c r="F91" s="14" t="str">
        <f>IF(AND(C91&lt;&gt;"",N82&lt;&gt;""),(M84/F84*E82+M85/F85*D82)/(C91+Q84),"")</f>
        <v/>
      </c>
      <c r="G91" s="1" t="str">
        <f>IF(C91,IF(AND(F84&lt;&gt;0,C82&lt;&gt;0),M85,M85/F85*D82)/(C91+Q85),"")</f>
        <v/>
      </c>
      <c r="H91" s="1" t="str">
        <f>IF(C91,(M86)/(C91+Q86),"")</f>
        <v/>
      </c>
      <c r="I91" s="1" t="str">
        <f>IF(C91,(M87)/(C91+Q87),"")</f>
        <v/>
      </c>
      <c r="J91" s="1" t="str">
        <f>IF(C91,(M88)/(C91+Q88),"")</f>
        <v/>
      </c>
      <c r="K91" s="14" t="str">
        <f>IF(AND(C91&lt;&gt;"",N82&lt;&gt;""),9.8*N82*LN((C91+Q84)/(C91+R84)),"")</f>
        <v/>
      </c>
      <c r="L91" s="1" t="str">
        <f>IF(C91,9.8*F85*LN((C91+Q85)/(C91+R85)),"")</f>
        <v/>
      </c>
      <c r="M91" s="1" t="str">
        <f>IF(C91,9.8*F86*LN((C91+Q86)/(C91+R86)),"")</f>
        <v/>
      </c>
      <c r="N91" s="1" t="str">
        <f>IF(C91,9.8*F87*LN((C91+Q87)/(C91+R87)),"")</f>
        <v/>
      </c>
      <c r="O91" s="1" t="str">
        <f>IF(C91,9.8*F88*LN((C91+Q88)/(C91+R88)),"")</f>
        <v/>
      </c>
      <c r="P91" s="15" t="str">
        <f>IF(C91,SUM(K91:O91),"")</f>
        <v/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36</v>
      </c>
      <c r="C92" s="9"/>
      <c r="D92" s="1" t="str">
        <f>IF(C92,C92+Q84,"")</f>
        <v/>
      </c>
      <c r="E92" s="72" t="str">
        <f t="shared" si="26"/>
        <v/>
      </c>
      <c r="F92" s="14" t="str">
        <f>IF(AND(C92&lt;&gt;"",N82&lt;&gt;""),(M84/F84*E82+M85/F85*D82)/(C92+Q84),"")</f>
        <v/>
      </c>
      <c r="G92" s="1" t="str">
        <f>IF(C92,IF(AND(F84&lt;&gt;0,C82&lt;&gt;0),M85,M85/F85*D82)/(C92+Q85),"")</f>
        <v/>
      </c>
      <c r="H92" s="1" t="str">
        <f>IF(C92,(M86)/(C92+Q86),"")</f>
        <v/>
      </c>
      <c r="I92" s="1" t="str">
        <f>IF(C92,(M87)/(C92+Q87),"")</f>
        <v/>
      </c>
      <c r="J92" s="1" t="str">
        <f>IF(C92,(M88)/(C92+Q88),"")</f>
        <v/>
      </c>
      <c r="K92" s="14" t="str">
        <f>IF(AND(C92&lt;&gt;"",N82&lt;&gt;""),9.8*N82*LN((C92+Q84)/(C92+R84)),"")</f>
        <v/>
      </c>
      <c r="L92" s="1" t="str">
        <f>IF(C92,9.8*F85*LN((C92+Q85)/(C92+R85)),"")</f>
        <v/>
      </c>
      <c r="M92" s="1" t="str">
        <f>IF(C92,9.8*F86*LN((C92+Q86)/(C92+R86)),"")</f>
        <v/>
      </c>
      <c r="N92" s="1" t="str">
        <f>IF(C92,9.8*F87*LN((C92+Q87)/(C92+R87)),"")</f>
        <v/>
      </c>
      <c r="O92" s="1" t="str">
        <f>IF(C92,9.8*F88*LN((C92+Q88)/(C92+R88)),"")</f>
        <v/>
      </c>
      <c r="P92" s="15" t="str">
        <f>IF(C92,SUM(K92:O92),"")</f>
        <v/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/>
      <c r="D93" s="1" t="str">
        <f>IF(C93,C93+Q84,"")</f>
        <v/>
      </c>
      <c r="E93" s="72" t="str">
        <f t="shared" si="26"/>
        <v/>
      </c>
      <c r="F93" s="14" t="str">
        <f>IF(AND(C93&lt;&gt;"",N82&lt;&gt;""),(M84/F84*E82+M85/F85*D82)/(C93+Q84),"")</f>
        <v/>
      </c>
      <c r="G93" s="1" t="str">
        <f>IF(C93,IF(AND(F84&lt;&gt;0,C82&lt;&gt;0),M85,M85/F85*D82)/(C93+Q85),"")</f>
        <v/>
      </c>
      <c r="H93" s="1" t="str">
        <f>IF(C93,(M86)/(C93+Q86),"")</f>
        <v/>
      </c>
      <c r="I93" s="1" t="str">
        <f>IF(C93,(M87)/(C93+Q87),"")</f>
        <v/>
      </c>
      <c r="J93" s="1" t="str">
        <f>IF(C93,(M88)/(C93+Q88),"")</f>
        <v/>
      </c>
      <c r="K93" s="14" t="str">
        <f>IF(AND(C93&lt;&gt;"",N82&lt;&gt;""),9.8*N82*LN((C93+Q84)/(C93+R84)),"")</f>
        <v/>
      </c>
      <c r="L93" s="1" t="str">
        <f>IF(C93,9.8*F85*LN((C93+Q85)/(C93+R85)),"")</f>
        <v/>
      </c>
      <c r="M93" s="1" t="str">
        <f>IF(C93,9.8*F86*LN((C93+Q86)/(C93+R86)),"")</f>
        <v/>
      </c>
      <c r="N93" s="1" t="str">
        <f>IF(C93,9.8*F87*LN((C93+Q87)/(C93+R87)),"")</f>
        <v/>
      </c>
      <c r="O93" s="1" t="str">
        <f>IF(C93,9.8*F88*LN((C93+Q88)/(C93+R88)),"")</f>
        <v/>
      </c>
      <c r="P93" s="15" t="str">
        <f>IF(C93,SUM(K93:O93),"")</f>
        <v/>
      </c>
      <c r="Q93" s="17"/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54</v>
      </c>
      <c r="D94" s="12" t="s">
        <v>28</v>
      </c>
      <c r="E94" s="12" t="s">
        <v>266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85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/>
      <c r="D95" s="1" t="str">
        <f>IF(C95,C95+Q84,"")</f>
        <v/>
      </c>
      <c r="E95" s="72" t="str">
        <f>IF(C95,C95/D95,"")</f>
        <v/>
      </c>
      <c r="F95" s="14" t="str">
        <f>IF(AND(C95&lt;&gt;"",N82&lt;&gt;""),(M84/F84*E82+M85/F85*D82)/(C95+U84),"")</f>
        <v/>
      </c>
      <c r="G95" s="1" t="str">
        <f>IF(C95,IF(AND(F84&lt;&gt;0,C82&lt;&gt;0),M85,M85/F85*D82)/(C95+U85),"")</f>
        <v/>
      </c>
      <c r="H95" s="1" t="str">
        <f>IF(C95,(M86)/(C95+U86),"")</f>
        <v/>
      </c>
      <c r="I95" s="1" t="str">
        <f>IF(C95,(M87)/(C95+U87),"")</f>
        <v/>
      </c>
      <c r="J95" s="1" t="str">
        <f>IF(C95,(M88)/(C95+U88),"")</f>
        <v/>
      </c>
      <c r="K95" s="14" t="str">
        <f>IF(AND(C95&lt;&gt;"",N82&lt;&gt;""),9.8*N82*LN((C95+U84)/(C95+V84)),"")</f>
        <v/>
      </c>
      <c r="L95" s="1" t="str">
        <f>IF(C95,9.8*F85*LN((C95+U85)/(C95+V85)),"")</f>
        <v/>
      </c>
      <c r="M95" s="1" t="str">
        <f>IF(C95,9.8*F86*LN((C95+U86)/(C95+V86)),"")</f>
        <v/>
      </c>
      <c r="N95" s="1" t="str">
        <f>IF(C95,9.8*F87*LN((C95+U87)/(C95+V87)),"")</f>
        <v/>
      </c>
      <c r="O95" s="1" t="str">
        <f>IF(C95,9.8*F88*LN((C95+U88)/(C95+V88)),"")</f>
        <v/>
      </c>
      <c r="P95" s="15" t="str">
        <f>IF(C95,SUM(K95:O95),"")</f>
        <v/>
      </c>
      <c r="Q95" s="1"/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/>
      <c r="D96" s="1" t="str">
        <f>IF(C96,C96+Q84,"")</f>
        <v/>
      </c>
      <c r="E96" s="72" t="str">
        <f t="shared" ref="E96:E98" si="28">IF(C96,C96/D96,"")</f>
        <v/>
      </c>
      <c r="F96" s="14" t="str">
        <f>IF(AND(C96&lt;&gt;"",N82&lt;&gt;""),(M84/F84*E82+M85/F85*D82)/(C96+U84),"")</f>
        <v/>
      </c>
      <c r="G96" s="1" t="str">
        <f>IF(C96,IF(AND(F84&lt;&gt;0,C82&lt;&gt;0),M85,M85/F85*D82)/(C96+U85),"")</f>
        <v/>
      </c>
      <c r="H96" s="1" t="str">
        <f>IF(C96,(M86)/(C96+U86),"")</f>
        <v/>
      </c>
      <c r="I96" s="1" t="str">
        <f>IF(C96,(M87)/(C96+U87),"")</f>
        <v/>
      </c>
      <c r="J96" s="1" t="str">
        <f>IF(C96,(M88)/(C96+U88),"")</f>
        <v/>
      </c>
      <c r="K96" s="14" t="str">
        <f>IF(AND(C96&lt;&gt;"",N82&lt;&gt;""),9.8*N82*LN((C96+U84)/(C96+V84)),"")</f>
        <v/>
      </c>
      <c r="L96" s="1" t="str">
        <f>IF(C96,9.8*F85*LN((C96+U85)/(C96+V85)),"")</f>
        <v/>
      </c>
      <c r="M96" s="1" t="str">
        <f>IF(C96,9.8*F86*LN((C96+U86)/(C96+V86)),"")</f>
        <v/>
      </c>
      <c r="N96" s="1" t="str">
        <f>IF(C96,9.8*F87*LN((C96+U87)/(C96+V87)),"")</f>
        <v/>
      </c>
      <c r="O96" s="1" t="str">
        <f>IF(C96,9.8*F88*LN((C96+U88)/(C96+V88)),"")</f>
        <v/>
      </c>
      <c r="P96" s="15" t="str">
        <f>IF(C96,SUM(K96:O96),"")</f>
        <v/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46</v>
      </c>
      <c r="B98" s="49" t="s">
        <v>33</v>
      </c>
      <c r="C98" s="50"/>
      <c r="D98" s="25" t="str">
        <f>IF(C98,C98+Q84,"")</f>
        <v/>
      </c>
      <c r="E98" s="73" t="str">
        <f t="shared" si="28"/>
        <v/>
      </c>
      <c r="F98" s="70" t="str">
        <f>IF(AND(C98&lt;&gt;"",N82&lt;&gt;""),(M84/F84*E82+M85/F85*D82)/(C98+U84),"")</f>
        <v/>
      </c>
      <c r="G98" s="25" t="str">
        <f>IF(C98,IF(AND(F84&lt;&gt;0,C82&lt;&gt;0),M85,M85/F85*D82)/(C98+U85),"")</f>
        <v/>
      </c>
      <c r="H98" s="25" t="str">
        <f>IF(C98,(M86)/(C98+U86),"")</f>
        <v/>
      </c>
      <c r="I98" s="25" t="str">
        <f>IF(C98,(M87)/(C98+U87),"")</f>
        <v/>
      </c>
      <c r="J98" s="25" t="str">
        <f>IF(C98,(M88)/(C98+U88),"")</f>
        <v/>
      </c>
      <c r="K98" s="70" t="str">
        <f>IF(AND(C98&lt;&gt;"",N82&lt;&gt;""),9.8*N82*LN((C98+U84)/(C98+V84)),"")</f>
        <v/>
      </c>
      <c r="L98" s="25" t="str">
        <f>IF(C98,9.8*F85*LN((C98+U85)/(C98+V85)),"")</f>
        <v/>
      </c>
      <c r="M98" s="25" t="str">
        <f>IF(C98,9.8*F86*LN((C98+U86)/(C98+V86)),"")</f>
        <v/>
      </c>
      <c r="N98" s="25" t="str">
        <f>IF(C98,9.8*F87*LN((C98+U87)/(C98+V87)),"")</f>
        <v/>
      </c>
      <c r="O98" s="25" t="str">
        <f>IF(C98,9.8*F88*LN((C98+U88)/(C98+V88)),"")</f>
        <v/>
      </c>
      <c r="P98" s="71" t="str">
        <f>IF(C98,SUM(K98:O98),"")</f>
        <v/>
      </c>
      <c r="Q98" s="25"/>
      <c r="R98" s="25"/>
      <c r="S98" s="25"/>
      <c r="T98" s="51" t="str">
        <f t="shared" si="29"/>
        <v/>
      </c>
      <c r="U98" s="25"/>
      <c r="V98" s="25"/>
    </row>
  </sheetData>
  <mergeCells count="46">
    <mergeCell ref="D5:E5"/>
    <mergeCell ref="I5:K5"/>
    <mergeCell ref="M5:O5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P6:R6"/>
    <mergeCell ref="S6:V6"/>
    <mergeCell ref="Q13:S13"/>
    <mergeCell ref="Q18:S18"/>
    <mergeCell ref="D24:E24"/>
    <mergeCell ref="I24:K24"/>
    <mergeCell ref="M24:O24"/>
    <mergeCell ref="P25:R25"/>
    <mergeCell ref="S25:V25"/>
    <mergeCell ref="Q32:S32"/>
    <mergeCell ref="Q37:S37"/>
    <mergeCell ref="D43:E43"/>
    <mergeCell ref="I43:K43"/>
    <mergeCell ref="M43:O43"/>
    <mergeCell ref="D81:E81"/>
    <mergeCell ref="I81:K81"/>
    <mergeCell ref="M81:O81"/>
    <mergeCell ref="P44:R44"/>
    <mergeCell ref="S44:V44"/>
    <mergeCell ref="Q51:S51"/>
    <mergeCell ref="Q56:S56"/>
    <mergeCell ref="D62:E62"/>
    <mergeCell ref="I62:K62"/>
    <mergeCell ref="M62:O62"/>
    <mergeCell ref="P82:R82"/>
    <mergeCell ref="S82:V82"/>
    <mergeCell ref="Q89:S89"/>
    <mergeCell ref="Q94:S94"/>
    <mergeCell ref="P63:R63"/>
    <mergeCell ref="S63:V63"/>
    <mergeCell ref="Q70:S70"/>
    <mergeCell ref="Q75:S75"/>
  </mergeCells>
  <phoneticPr fontId="1" type="noConversion"/>
  <conditionalFormatting sqref="P9">
    <cfRule type="expression" dxfId="241" priority="76">
      <formula>P9&lt;P8</formula>
    </cfRule>
  </conditionalFormatting>
  <conditionalFormatting sqref="T9">
    <cfRule type="expression" dxfId="240" priority="75">
      <formula>T9&lt;T8</formula>
    </cfRule>
  </conditionalFormatting>
  <conditionalFormatting sqref="L8:V12 D14:D17 F14:J17 D19:D22 F19:J22">
    <cfRule type="expression" dxfId="239" priority="74">
      <formula>ROUND(D8,3)&lt;&gt;D8</formula>
    </cfRule>
  </conditionalFormatting>
  <conditionalFormatting sqref="K14:P17 K19:P22">
    <cfRule type="expression" dxfId="238" priority="73">
      <formula>ROUND(K14,1)&lt;&gt;K14</formula>
    </cfRule>
  </conditionalFormatting>
  <conditionalFormatting sqref="L8:V12 D14:D17 F14:P17 D19:D22 F19:P22">
    <cfRule type="expression" dxfId="237" priority="72">
      <formula>D8=0</formula>
    </cfRule>
  </conditionalFormatting>
  <conditionalFormatting sqref="F14:F17 F19:F22">
    <cfRule type="expression" dxfId="236" priority="71">
      <formula>AND(T14&lt;&gt;"",F14&lt;&gt;"")</formula>
    </cfRule>
  </conditionalFormatting>
  <conditionalFormatting sqref="G14:G17 G19:G22">
    <cfRule type="expression" dxfId="235" priority="70">
      <formula>AND(T14&lt;&gt;"",F14="")</formula>
    </cfRule>
  </conditionalFormatting>
  <conditionalFormatting sqref="L6">
    <cfRule type="expression" dxfId="234" priority="64">
      <formula>ROUND(L6,3)&lt;&gt;L6</formula>
    </cfRule>
    <cfRule type="expression" dxfId="233" priority="69">
      <formula>L6=0</formula>
    </cfRule>
  </conditionalFormatting>
  <conditionalFormatting sqref="Q8">
    <cfRule type="expression" dxfId="232" priority="68">
      <formula>NOT(AND(F8&lt;&gt;0,C6&lt;&gt;0))</formula>
    </cfRule>
  </conditionalFormatting>
  <conditionalFormatting sqref="R8">
    <cfRule type="expression" dxfId="231" priority="67">
      <formula>NOT(AND(F8&lt;&gt;0,C6&lt;&gt;0))</formula>
    </cfRule>
  </conditionalFormatting>
  <conditionalFormatting sqref="U8">
    <cfRule type="expression" dxfId="230" priority="66">
      <formula>NOT(AND(F8&lt;&gt;0,C6&lt;&gt;0))</formula>
    </cfRule>
  </conditionalFormatting>
  <conditionalFormatting sqref="V8">
    <cfRule type="expression" dxfId="229" priority="65">
      <formula>NOT(AND(F8&lt;&gt;0,C6&lt;&gt;0))</formula>
    </cfRule>
  </conditionalFormatting>
  <conditionalFormatting sqref="H6">
    <cfRule type="expression" dxfId="228" priority="63">
      <formula>ROUND(IF(H6="隐藏水印。作者：战犬金龟（贴吧/B站）",1,0),1)</formula>
    </cfRule>
  </conditionalFormatting>
  <conditionalFormatting sqref="N6">
    <cfRule type="expression" dxfId="227" priority="62">
      <formula>ROUND(N6,1)&lt;&gt;N6</formula>
    </cfRule>
  </conditionalFormatting>
  <conditionalFormatting sqref="P28">
    <cfRule type="expression" dxfId="226" priority="61">
      <formula>P28&lt;P27</formula>
    </cfRule>
  </conditionalFormatting>
  <conditionalFormatting sqref="T28">
    <cfRule type="expression" dxfId="225" priority="60">
      <formula>T28&lt;T27</formula>
    </cfRule>
  </conditionalFormatting>
  <conditionalFormatting sqref="L27:V31 D33:D36 F33:J36 D38:D41 F38:J41">
    <cfRule type="expression" dxfId="224" priority="59">
      <formula>ROUND(D27,3)&lt;&gt;D27</formula>
    </cfRule>
  </conditionalFormatting>
  <conditionalFormatting sqref="K33:P36 K38:P41">
    <cfRule type="expression" dxfId="223" priority="58">
      <formula>ROUND(K33,1)&lt;&gt;K33</formula>
    </cfRule>
  </conditionalFormatting>
  <conditionalFormatting sqref="L27:V31 D33:D36 F33:P36 D38:D41 F38:P41">
    <cfRule type="expression" dxfId="222" priority="57">
      <formula>D27=0</formula>
    </cfRule>
  </conditionalFormatting>
  <conditionalFormatting sqref="F33:F36 F38:F41">
    <cfRule type="expression" dxfId="221" priority="56">
      <formula>AND(T33&lt;&gt;"",F33&lt;&gt;"")</formula>
    </cfRule>
  </conditionalFormatting>
  <conditionalFormatting sqref="G33:G36 G38:G41">
    <cfRule type="expression" dxfId="220" priority="55">
      <formula>AND(T33&lt;&gt;"",F33="")</formula>
    </cfRule>
  </conditionalFormatting>
  <conditionalFormatting sqref="L25">
    <cfRule type="expression" dxfId="219" priority="49">
      <formula>ROUND(L25,3)&lt;&gt;L25</formula>
    </cfRule>
    <cfRule type="expression" dxfId="218" priority="54">
      <formula>L25=0</formula>
    </cfRule>
  </conditionalFormatting>
  <conditionalFormatting sqref="Q27">
    <cfRule type="expression" dxfId="217" priority="53">
      <formula>NOT(AND(F27&lt;&gt;0,C25&lt;&gt;0))</formula>
    </cfRule>
  </conditionalFormatting>
  <conditionalFormatting sqref="R27">
    <cfRule type="expression" dxfId="216" priority="52">
      <formula>NOT(AND(F27&lt;&gt;0,C25&lt;&gt;0))</formula>
    </cfRule>
  </conditionalFormatting>
  <conditionalFormatting sqref="U27">
    <cfRule type="expression" dxfId="215" priority="51">
      <formula>NOT(AND(F27&lt;&gt;0,C25&lt;&gt;0))</formula>
    </cfRule>
  </conditionalFormatting>
  <conditionalFormatting sqref="V27">
    <cfRule type="expression" dxfId="214" priority="50">
      <formula>NOT(AND(F27&lt;&gt;0,C25&lt;&gt;0))</formula>
    </cfRule>
  </conditionalFormatting>
  <conditionalFormatting sqref="H25">
    <cfRule type="expression" dxfId="213" priority="48">
      <formula>ROUND(IF(H25="隐藏水印。作者：战犬金龟（贴吧/B站）",1,0),1)</formula>
    </cfRule>
  </conditionalFormatting>
  <conditionalFormatting sqref="N25">
    <cfRule type="expression" dxfId="212" priority="47">
      <formula>ROUND(N25,1)&lt;&gt;N25</formula>
    </cfRule>
  </conditionalFormatting>
  <conditionalFormatting sqref="P47">
    <cfRule type="expression" dxfId="211" priority="46">
      <formula>P47&lt;P46</formula>
    </cfRule>
  </conditionalFormatting>
  <conditionalFormatting sqref="T47">
    <cfRule type="expression" dxfId="210" priority="45">
      <formula>T47&lt;T46</formula>
    </cfRule>
  </conditionalFormatting>
  <conditionalFormatting sqref="L46:V50 D52:D55 F52:J55 D57:D60 F57:J60">
    <cfRule type="expression" dxfId="209" priority="44">
      <formula>ROUND(D46,3)&lt;&gt;D46</formula>
    </cfRule>
  </conditionalFormatting>
  <conditionalFormatting sqref="K52:P55 K57:P60">
    <cfRule type="expression" dxfId="208" priority="43">
      <formula>ROUND(K52,1)&lt;&gt;K52</formula>
    </cfRule>
  </conditionalFormatting>
  <conditionalFormatting sqref="L46:V50 D52:D55 F52:P55 D57:D60 F57:P60">
    <cfRule type="expression" dxfId="207" priority="42">
      <formula>D46=0</formula>
    </cfRule>
  </conditionalFormatting>
  <conditionalFormatting sqref="F52:F55 F57:F60">
    <cfRule type="expression" dxfId="206" priority="41">
      <formula>AND(T52&lt;&gt;"",F52&lt;&gt;"")</formula>
    </cfRule>
  </conditionalFormatting>
  <conditionalFormatting sqref="G52:G55 G57:G60">
    <cfRule type="expression" dxfId="205" priority="40">
      <formula>AND(T52&lt;&gt;"",F52="")</formula>
    </cfRule>
  </conditionalFormatting>
  <conditionalFormatting sqref="L44">
    <cfRule type="expression" dxfId="204" priority="34">
      <formula>ROUND(L44,3)&lt;&gt;L44</formula>
    </cfRule>
    <cfRule type="expression" dxfId="203" priority="39">
      <formula>L44=0</formula>
    </cfRule>
  </conditionalFormatting>
  <conditionalFormatting sqref="Q46">
    <cfRule type="expression" dxfId="202" priority="38">
      <formula>NOT(AND(F46&lt;&gt;0,C44&lt;&gt;0))</formula>
    </cfRule>
  </conditionalFormatting>
  <conditionalFormatting sqref="R46">
    <cfRule type="expression" dxfId="201" priority="37">
      <formula>NOT(AND(F46&lt;&gt;0,C44&lt;&gt;0))</formula>
    </cfRule>
  </conditionalFormatting>
  <conditionalFormatting sqref="U46">
    <cfRule type="expression" dxfId="200" priority="36">
      <formula>NOT(AND(F46&lt;&gt;0,C44&lt;&gt;0))</formula>
    </cfRule>
  </conditionalFormatting>
  <conditionalFormatting sqref="V46">
    <cfRule type="expression" dxfId="199" priority="35">
      <formula>NOT(AND(F46&lt;&gt;0,C44&lt;&gt;0))</formula>
    </cfRule>
  </conditionalFormatting>
  <conditionalFormatting sqref="H44">
    <cfRule type="expression" dxfId="198" priority="33">
      <formula>ROUND(IF(H44="隐藏水印。作者：战犬金龟（贴吧/B站）",1,0),1)</formula>
    </cfRule>
  </conditionalFormatting>
  <conditionalFormatting sqref="N44">
    <cfRule type="expression" dxfId="197" priority="32">
      <formula>ROUND(N44,1)&lt;&gt;N44</formula>
    </cfRule>
  </conditionalFormatting>
  <conditionalFormatting sqref="P66">
    <cfRule type="expression" dxfId="196" priority="31">
      <formula>P66&lt;P65</formula>
    </cfRule>
  </conditionalFormatting>
  <conditionalFormatting sqref="T66">
    <cfRule type="expression" dxfId="195" priority="30">
      <formula>T66&lt;T65</formula>
    </cfRule>
  </conditionalFormatting>
  <conditionalFormatting sqref="L65:V69 D71:D74 F71:J74 D76:D79 F76:J79">
    <cfRule type="expression" dxfId="194" priority="29">
      <formula>ROUND(D65,3)&lt;&gt;D65</formula>
    </cfRule>
  </conditionalFormatting>
  <conditionalFormatting sqref="K71:P74 K76:P79">
    <cfRule type="expression" dxfId="193" priority="28">
      <formula>ROUND(K71,1)&lt;&gt;K71</formula>
    </cfRule>
  </conditionalFormatting>
  <conditionalFormatting sqref="L65:V69 D71:D74 F71:P74 D76:D79 F76:P79">
    <cfRule type="expression" dxfId="192" priority="27">
      <formula>D65=0</formula>
    </cfRule>
  </conditionalFormatting>
  <conditionalFormatting sqref="F71:F74 F76:F79">
    <cfRule type="expression" dxfId="191" priority="26">
      <formula>AND(T71&lt;&gt;"",F71&lt;&gt;"")</formula>
    </cfRule>
  </conditionalFormatting>
  <conditionalFormatting sqref="G71:G74 G76:G79">
    <cfRule type="expression" dxfId="190" priority="25">
      <formula>AND(T71&lt;&gt;"",F71="")</formula>
    </cfRule>
  </conditionalFormatting>
  <conditionalFormatting sqref="L63">
    <cfRule type="expression" dxfId="189" priority="19">
      <formula>ROUND(L63,3)&lt;&gt;L63</formula>
    </cfRule>
    <cfRule type="expression" dxfId="188" priority="24">
      <formula>L63=0</formula>
    </cfRule>
  </conditionalFormatting>
  <conditionalFormatting sqref="Q65">
    <cfRule type="expression" dxfId="187" priority="23">
      <formula>NOT(AND(F65&lt;&gt;0,C63&lt;&gt;0))</formula>
    </cfRule>
  </conditionalFormatting>
  <conditionalFormatting sqref="R65">
    <cfRule type="expression" dxfId="186" priority="22">
      <formula>NOT(AND(F65&lt;&gt;0,C63&lt;&gt;0))</formula>
    </cfRule>
  </conditionalFormatting>
  <conditionalFormatting sqref="U65">
    <cfRule type="expression" dxfId="185" priority="21">
      <formula>NOT(AND(F65&lt;&gt;0,C63&lt;&gt;0))</formula>
    </cfRule>
  </conditionalFormatting>
  <conditionalFormatting sqref="V65">
    <cfRule type="expression" dxfId="184" priority="20">
      <formula>NOT(AND(F65&lt;&gt;0,C63&lt;&gt;0))</formula>
    </cfRule>
  </conditionalFormatting>
  <conditionalFormatting sqref="H63">
    <cfRule type="expression" dxfId="183" priority="18">
      <formula>ROUND(IF(H63="隐藏水印。作者：战犬金龟（贴吧/B站）",1,0),1)</formula>
    </cfRule>
  </conditionalFormatting>
  <conditionalFormatting sqref="N63">
    <cfRule type="expression" dxfId="182" priority="17">
      <formula>ROUND(N63,1)&lt;&gt;N63</formula>
    </cfRule>
  </conditionalFormatting>
  <conditionalFormatting sqref="P85">
    <cfRule type="expression" dxfId="181" priority="16">
      <formula>P85&lt;P84</formula>
    </cfRule>
  </conditionalFormatting>
  <conditionalFormatting sqref="T85">
    <cfRule type="expression" dxfId="180" priority="15">
      <formula>T85&lt;T84</formula>
    </cfRule>
  </conditionalFormatting>
  <conditionalFormatting sqref="L84:V88 D90:D93 F90:J93 D95:D98 F95:J98">
    <cfRule type="expression" dxfId="179" priority="14">
      <formula>ROUND(D84,3)&lt;&gt;D84</formula>
    </cfRule>
  </conditionalFormatting>
  <conditionalFormatting sqref="K90:P93 K95:P98">
    <cfRule type="expression" dxfId="178" priority="13">
      <formula>ROUND(K90,1)&lt;&gt;K90</formula>
    </cfRule>
  </conditionalFormatting>
  <conditionalFormatting sqref="L84:V88 D90:D93 F90:P93 D95:D98 F95:P98">
    <cfRule type="expression" dxfId="177" priority="12">
      <formula>D84=0</formula>
    </cfRule>
  </conditionalFormatting>
  <conditionalFormatting sqref="F90:F93 F95:F98">
    <cfRule type="expression" dxfId="176" priority="11">
      <formula>AND(T90&lt;&gt;"",F90&lt;&gt;"")</formula>
    </cfRule>
  </conditionalFormatting>
  <conditionalFormatting sqref="G90:G93 G95:G98">
    <cfRule type="expression" dxfId="175" priority="10">
      <formula>AND(T90&lt;&gt;"",F90="")</formula>
    </cfRule>
  </conditionalFormatting>
  <conditionalFormatting sqref="L82">
    <cfRule type="expression" dxfId="174" priority="4">
      <formula>ROUND(L82,3)&lt;&gt;L82</formula>
    </cfRule>
    <cfRule type="expression" dxfId="173" priority="9">
      <formula>L82=0</formula>
    </cfRule>
  </conditionalFormatting>
  <conditionalFormatting sqref="Q84">
    <cfRule type="expression" dxfId="172" priority="8">
      <formula>NOT(AND(F84&lt;&gt;0,C82&lt;&gt;0))</formula>
    </cfRule>
  </conditionalFormatting>
  <conditionalFormatting sqref="R84">
    <cfRule type="expression" dxfId="171" priority="7">
      <formula>NOT(AND(F84&lt;&gt;0,C82&lt;&gt;0))</formula>
    </cfRule>
  </conditionalFormatting>
  <conditionalFormatting sqref="U84">
    <cfRule type="expression" dxfId="170" priority="6">
      <formula>NOT(AND(F84&lt;&gt;0,C82&lt;&gt;0))</formula>
    </cfRule>
  </conditionalFormatting>
  <conditionalFormatting sqref="V84">
    <cfRule type="expression" dxfId="169" priority="5">
      <formula>NOT(AND(F84&lt;&gt;0,C82&lt;&gt;0))</formula>
    </cfRule>
  </conditionalFormatting>
  <conditionalFormatting sqref="H82">
    <cfRule type="expression" dxfId="168" priority="3">
      <formula>ROUND(IF(H82="隐藏水印。作者：战犬金龟（贴吧/B站）",1,0),1)</formula>
    </cfRule>
  </conditionalFormatting>
  <conditionalFormatting sqref="N82">
    <cfRule type="expression" dxfId="167" priority="2">
      <formula>ROUND(N82,1)&lt;&gt;N82</formula>
    </cfRule>
  </conditionalFormatting>
  <conditionalFormatting sqref="B3:W3">
    <cfRule type="expression" dxfId="166" priority="1">
      <formula>B3=0</formula>
    </cfRule>
  </conditionalFormatting>
  <hyperlinks>
    <hyperlink ref="I83" r:id="rId1"/>
    <hyperlink ref="I87" r:id="rId2"/>
    <hyperlink ref="I65" r:id="rId3"/>
    <hyperlink ref="I64" r:id="rId4"/>
    <hyperlink ref="I26" r:id="rId5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2"/>
  <sheetViews>
    <sheetView workbookViewId="0">
      <selection activeCell="W4" sqref="W4"/>
    </sheetView>
  </sheetViews>
  <sheetFormatPr defaultRowHeight="14.4"/>
  <sheetData>
    <row r="1" spans="1:23">
      <c r="A1" s="57" t="s">
        <v>74</v>
      </c>
    </row>
    <row r="3" spans="1:23">
      <c r="A3" s="57" t="s">
        <v>300</v>
      </c>
      <c r="B3" s="92" t="str">
        <f ca="1">HYPERLINK("#A5",INDIRECT("A5"))</f>
        <v>战犬金龟9号</v>
      </c>
      <c r="C3" s="93"/>
      <c r="D3" s="92" t="str">
        <f ca="1">HYPERLINK("#A24",INDIRECT("A24"))</f>
        <v>战犬金龟9B</v>
      </c>
      <c r="E3" s="93"/>
      <c r="F3" s="92" t="str">
        <f ca="1">HYPERLINK("#A43",INDIRECT("A43"))</f>
        <v>战犬金龟5号</v>
      </c>
      <c r="G3" s="92"/>
      <c r="H3" s="92" t="str">
        <f ca="1">HYPERLINK("#A62",INDIRECT("A62"))</f>
        <v>王大爺10号</v>
      </c>
      <c r="I3" s="93"/>
      <c r="J3" s="92" t="str">
        <f ca="1">HYPERLINK("#A81",INDIRECT("A81"))</f>
        <v>王大爺10B</v>
      </c>
      <c r="K3" s="93"/>
      <c r="L3" s="92" t="str">
        <f ca="1">HYPERLINK("#A100",INDIRECT("A100"))</f>
        <v>全球吃素5号</v>
      </c>
      <c r="M3" s="93"/>
      <c r="N3" s="92" t="str">
        <f ca="1">HYPERLINK("#A119",INDIRECT("A119"))</f>
        <v>全球吃素5改</v>
      </c>
      <c r="O3" s="93"/>
      <c r="P3" s="92" t="str">
        <f ca="1">HYPERLINK("#A138",INDIRECT("A138"))</f>
        <v>hi999zzz 5号</v>
      </c>
      <c r="Q3" s="93"/>
      <c r="R3" s="92" t="str">
        <f ca="1">HYPERLINK("#A157",INDIRECT("A157"))</f>
        <v>hi999zzz 10号</v>
      </c>
      <c r="S3" s="93"/>
      <c r="T3" s="92" t="str">
        <f ca="1">HYPERLINK("#A176",INDIRECT("A176"))</f>
        <v>hi999zzz 10C</v>
      </c>
      <c r="U3" s="93"/>
      <c r="V3" s="92" t="str">
        <f ca="1">HYPERLINK("#A195",INDIRECT("A195"))</f>
        <v>hi999zzz 10C改</v>
      </c>
      <c r="W3" s="93"/>
    </row>
    <row r="4" spans="1:23" ht="15" thickBot="1"/>
    <row r="5" spans="1:23" ht="15" thickBot="1">
      <c r="A5" s="52" t="s">
        <v>478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479</v>
      </c>
      <c r="B6" s="39"/>
      <c r="C6" s="2">
        <v>0</v>
      </c>
      <c r="D6" s="2">
        <v>308</v>
      </c>
      <c r="E6" s="2">
        <v>0</v>
      </c>
      <c r="F6" s="41"/>
      <c r="G6" s="42"/>
      <c r="H6" s="42"/>
      <c r="I6" s="24" t="s">
        <v>500</v>
      </c>
      <c r="J6" s="24"/>
      <c r="K6" s="24"/>
      <c r="L6" s="55">
        <f>IFERROR(IF(AND(F8&lt;&gt;0,C6&lt;&gt;0),M8/F8*E6+M9/F9*D6,M9/F9*D6),0)</f>
        <v>7340.9704142011833</v>
      </c>
      <c r="M6" s="53" t="s">
        <v>45</v>
      </c>
      <c r="N6" s="17" t="str">
        <f>IF(AND(F8&lt;&gt;0,C6&lt;&gt;0),(M8+M9)/(M8/F8+M9/F9),"")</f>
        <v/>
      </c>
      <c r="O6" s="56" t="s">
        <v>46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24"/>
      <c r="J7" s="24"/>
      <c r="K7" s="24"/>
      <c r="L7" s="11" t="s">
        <v>6</v>
      </c>
      <c r="M7" s="12" t="s">
        <v>69</v>
      </c>
      <c r="N7" s="12" t="s">
        <v>15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16</v>
      </c>
      <c r="U7" s="1" t="s">
        <v>10</v>
      </c>
      <c r="V7" s="1" t="s">
        <v>11</v>
      </c>
    </row>
    <row r="8" spans="1:23">
      <c r="A8" s="40"/>
      <c r="B8" s="27" t="s">
        <v>3</v>
      </c>
      <c r="C8" s="3"/>
      <c r="D8" s="4"/>
      <c r="E8" s="4"/>
      <c r="F8" s="4"/>
      <c r="G8" s="19"/>
      <c r="H8" s="20"/>
      <c r="I8" s="24"/>
      <c r="J8" s="24"/>
      <c r="K8" s="24"/>
      <c r="L8" s="14">
        <f>C8*C6</f>
        <v>0</v>
      </c>
      <c r="M8" s="1">
        <f>E8*C6</f>
        <v>0</v>
      </c>
      <c r="N8" s="1">
        <f>IF(D8,L8/D8,0)</f>
        <v>0</v>
      </c>
      <c r="O8" s="15">
        <f>L8-N8</f>
        <v>0</v>
      </c>
      <c r="P8" s="14">
        <f>IF(AND(F8&lt;&gt;0,C6&lt;&gt;0),O8/M8*F8/IF(G8,G8,1),0)</f>
        <v>0</v>
      </c>
      <c r="Q8" s="1">
        <f>SUM(L8:L12)</f>
        <v>4890</v>
      </c>
      <c r="R8" s="15">
        <f>N8+Q9</f>
        <v>4890</v>
      </c>
      <c r="S8" s="14">
        <f>N8+H8*O8</f>
        <v>0</v>
      </c>
      <c r="T8" s="1">
        <f>IF(AND(F8&lt;&gt;0,C6&lt;&gt;0),(1-H8)*O8/M8*F8/IF(G8,G8,1),0)</f>
        <v>0</v>
      </c>
      <c r="U8" s="1">
        <f>SUM(L8:L12)</f>
        <v>4890</v>
      </c>
      <c r="V8" s="1">
        <f>S8+U9</f>
        <v>4890</v>
      </c>
    </row>
    <row r="9" spans="1:23">
      <c r="A9" s="47"/>
      <c r="B9" s="27">
        <v>1</v>
      </c>
      <c r="C9" s="5">
        <v>3850</v>
      </c>
      <c r="D9" s="1">
        <v>17.5</v>
      </c>
      <c r="E9" s="1">
        <v>8056</v>
      </c>
      <c r="F9" s="1">
        <v>338</v>
      </c>
      <c r="G9" s="5">
        <v>1</v>
      </c>
      <c r="H9" s="21">
        <v>9.01E-2</v>
      </c>
      <c r="I9" s="30" t="s">
        <v>501</v>
      </c>
      <c r="J9" s="30"/>
      <c r="K9" s="30"/>
      <c r="L9" s="14">
        <f>C9</f>
        <v>3850</v>
      </c>
      <c r="M9" s="1">
        <f>E9</f>
        <v>8056</v>
      </c>
      <c r="N9" s="1">
        <f>IF(D9,L9/D9,0)</f>
        <v>220</v>
      </c>
      <c r="O9" s="15">
        <f>L9-N9</f>
        <v>3630</v>
      </c>
      <c r="P9" s="14">
        <f t="shared" ref="P9:P12" si="0">IF(F9,O9/M9*F9/IF(G9,G9,1),0)</f>
        <v>152.30139026812313</v>
      </c>
      <c r="Q9" s="1">
        <f>IF(F9,SUM(L9:L12)-P8*M9/F9*IF(G9,G9,1),0)</f>
        <v>4890</v>
      </c>
      <c r="R9" s="15">
        <f>N9+Q10</f>
        <v>1260</v>
      </c>
      <c r="S9" s="14">
        <f>N9+H9*O9</f>
        <v>547.06299999999999</v>
      </c>
      <c r="T9" s="1">
        <f>IF(F9,(1-H9)*O9/M9*F9/IF(G9,G9,1),0)</f>
        <v>138.57903500496525</v>
      </c>
      <c r="U9" s="1">
        <f>IF(F9,SUM(L9:L12)-T8*M9/F9*IF(G9,G9,1),0)</f>
        <v>4890</v>
      </c>
      <c r="V9" s="1">
        <f>S9+U10</f>
        <v>1587.0630000000001</v>
      </c>
    </row>
    <row r="10" spans="1:23">
      <c r="A10" s="47"/>
      <c r="B10" s="27">
        <v>2</v>
      </c>
      <c r="C10" s="5">
        <v>800</v>
      </c>
      <c r="D10" s="1">
        <v>10</v>
      </c>
      <c r="E10" s="1">
        <v>900</v>
      </c>
      <c r="F10" s="1">
        <v>453</v>
      </c>
      <c r="G10" s="5"/>
      <c r="H10" s="21"/>
      <c r="I10" s="30" t="s">
        <v>502</v>
      </c>
      <c r="J10" s="30"/>
      <c r="K10" s="30"/>
      <c r="L10" s="14">
        <f>C10</f>
        <v>800</v>
      </c>
      <c r="M10" s="1">
        <f>E10</f>
        <v>900</v>
      </c>
      <c r="N10" s="1">
        <f>IF(D10,L10/D10,0)</f>
        <v>80</v>
      </c>
      <c r="O10" s="15">
        <f>L10-N10</f>
        <v>720</v>
      </c>
      <c r="P10" s="14">
        <f t="shared" si="0"/>
        <v>362.40000000000003</v>
      </c>
      <c r="Q10" s="1">
        <f>SUM(L10:L12)</f>
        <v>1040</v>
      </c>
      <c r="R10" s="15">
        <f>N10+Q11</f>
        <v>320</v>
      </c>
      <c r="S10" s="14">
        <f>N10+H10*O10</f>
        <v>80</v>
      </c>
      <c r="T10" s="1">
        <f t="shared" ref="T10:T12" si="1">IF(F10,(1-H10)*O10/M10*F10/IF(G10,G10,1),0)</f>
        <v>362.40000000000003</v>
      </c>
      <c r="U10" s="1">
        <f>SUM(L10:L12)</f>
        <v>1040</v>
      </c>
      <c r="V10" s="1">
        <f>S10+U11</f>
        <v>320</v>
      </c>
    </row>
    <row r="11" spans="1:23">
      <c r="A11" s="33" t="s">
        <v>45</v>
      </c>
      <c r="B11" s="27">
        <v>3</v>
      </c>
      <c r="C11" s="5">
        <v>240</v>
      </c>
      <c r="D11" s="1">
        <v>7.5</v>
      </c>
      <c r="E11" s="1">
        <v>225</v>
      </c>
      <c r="F11" s="1">
        <v>460</v>
      </c>
      <c r="G11" s="5"/>
      <c r="H11" s="21"/>
      <c r="I11" s="30" t="s">
        <v>503</v>
      </c>
      <c r="J11" s="30"/>
      <c r="K11" s="30"/>
      <c r="L11" s="14">
        <f>C11</f>
        <v>240</v>
      </c>
      <c r="M11" s="1">
        <f>E11</f>
        <v>225</v>
      </c>
      <c r="N11" s="1">
        <f>IF(D11,L11/D11,0)</f>
        <v>32</v>
      </c>
      <c r="O11" s="15">
        <f>L11-N11</f>
        <v>208</v>
      </c>
      <c r="P11" s="14">
        <f t="shared" si="0"/>
        <v>425.24444444444441</v>
      </c>
      <c r="Q11" s="1">
        <f>SUM(L11:L12)</f>
        <v>240</v>
      </c>
      <c r="R11" s="15">
        <f>N11+Q12</f>
        <v>32</v>
      </c>
      <c r="S11" s="14">
        <f>N11+H11*O11</f>
        <v>32</v>
      </c>
      <c r="T11" s="1">
        <f t="shared" si="1"/>
        <v>425.24444444444441</v>
      </c>
      <c r="U11" s="1">
        <f>SUM(L11:L12)</f>
        <v>240</v>
      </c>
      <c r="V11" s="1">
        <f>S11+U12</f>
        <v>32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24"/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265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85" t="s">
        <v>42</v>
      </c>
      <c r="R13" s="85"/>
      <c r="S13" s="85"/>
      <c r="T13" s="31" t="s">
        <v>50</v>
      </c>
      <c r="U13" s="35" t="s">
        <v>47</v>
      </c>
      <c r="V13" s="36" t="s">
        <v>264</v>
      </c>
    </row>
    <row r="14" spans="1:23">
      <c r="A14" s="47"/>
      <c r="B14" s="27" t="s">
        <v>30</v>
      </c>
      <c r="C14" s="8">
        <v>308</v>
      </c>
      <c r="D14" s="1">
        <f>IF(C14,C14+Q8,"")</f>
        <v>5198</v>
      </c>
      <c r="E14" s="72">
        <f>IF(C14,C14/D14,"")</f>
        <v>5.9253559061177373E-2</v>
      </c>
      <c r="F14" s="14" t="str">
        <f>IF(AND(C14&lt;&gt;"",N6&lt;&gt;""),(M8/F8*E6+M9/F9*D6)/(C14+Q8),"")</f>
        <v/>
      </c>
      <c r="G14" s="1">
        <f>IF(C14,IF(AND(F8&lt;&gt;0,C6&lt;&gt;0),M9,M9/F9*D6)/(C14+Q9),"")</f>
        <v>1.4122682597539791</v>
      </c>
      <c r="H14" s="1">
        <f>IF(C14,(M10)/(C14+Q10),"")</f>
        <v>0.66765578635014833</v>
      </c>
      <c r="I14" s="1">
        <f>IF(C14,(M11)/(C14+Q11),"")</f>
        <v>0.41058394160583944</v>
      </c>
      <c r="J14" s="1">
        <f>IF(C14,(M12)/(C14+Q12),"")</f>
        <v>0</v>
      </c>
      <c r="K14" s="14" t="str">
        <f>IF(AND(C14&lt;&gt;"",N6&lt;&gt;""),9.8*N6*LN((C14+Q8)/(C14+R8)),"")</f>
        <v/>
      </c>
      <c r="L14" s="1">
        <f>IF(C14,9.8*F9*LN((C14+Q9)/(C14+R9)),"")</f>
        <v>3969.8220125377816</v>
      </c>
      <c r="M14" s="1">
        <f>IF(C14,9.8*F10*LN((C14+Q10)/(C14+R10)),"")</f>
        <v>3390.9785327429968</v>
      </c>
      <c r="N14" s="1">
        <f>IF(C14,9.8*F11*LN((C14+Q11)/(C14+R11)),"")</f>
        <v>2151.8021493748406</v>
      </c>
      <c r="O14" s="1">
        <f>IF(C14,9.8*F12*LN((C14+Q12)/(C14+R12)),"")</f>
        <v>0</v>
      </c>
      <c r="P14" s="15">
        <f>IF(C14,SUM(K14:O14),"")</f>
        <v>9512.6026946556194</v>
      </c>
      <c r="Q14" s="1" t="s">
        <v>507</v>
      </c>
      <c r="R14" s="1"/>
      <c r="S14" s="1"/>
      <c r="T14" s="32" t="str">
        <f>IF(OR(F14&lt;1,AND(F14="",G14&lt;1)),"起飞推重比不得小于0，空天飞机除外","")</f>
        <v/>
      </c>
      <c r="U14" s="1"/>
      <c r="V14" s="1"/>
    </row>
    <row r="15" spans="1:23">
      <c r="A15" s="33" t="s">
        <v>47</v>
      </c>
      <c r="B15" s="27" t="s">
        <v>31</v>
      </c>
      <c r="C15" s="9">
        <v>140</v>
      </c>
      <c r="D15" s="1">
        <f>IF(C15,C15+Q8,"")</f>
        <v>5030</v>
      </c>
      <c r="E15" s="72">
        <f t="shared" ref="E15:E17" si="2">IF(C15,C15/D15,"")</f>
        <v>2.7833001988071572E-2</v>
      </c>
      <c r="F15" s="14" t="str">
        <f>IF(AND(C15&lt;&gt;"",N6&lt;&gt;""),(M8/F8*E6+M9/F9*D6)/(C15+Q8),"")</f>
        <v/>
      </c>
      <c r="G15" s="1">
        <f>IF(C15,IF(AND(F8&lt;&gt;0,C6&lt;&gt;0),M9,M9/F9*D6)/(C15+Q9),"")</f>
        <v>1.4594374580916865</v>
      </c>
      <c r="H15" s="1">
        <f>IF(C15,(M10)/(C15+Q10),"")</f>
        <v>0.76271186440677963</v>
      </c>
      <c r="I15" s="1">
        <f>IF(C15,(M11)/(C15+Q11),"")</f>
        <v>0.59210526315789469</v>
      </c>
      <c r="J15" s="1">
        <f>IF(C15,(M12)/(C15+Q12),"")</f>
        <v>0</v>
      </c>
      <c r="K15" s="14" t="str">
        <f>IF(AND(C15&lt;&gt;"",N6&lt;&gt;""),9.8*N6*LN((C15+Q8)/(C15+R8)),"")</f>
        <v/>
      </c>
      <c r="L15" s="1">
        <f>IF(C15,9.8*F9*LN((C15+Q9)/(C15+R9)),"")</f>
        <v>4236.3865187873171</v>
      </c>
      <c r="M15" s="1">
        <f>IF(C15,9.8*F10*LN((C15+Q10)/(C15+R10)),"")</f>
        <v>4182.1067062791844</v>
      </c>
      <c r="N15" s="1">
        <f>IF(C15,9.8*F11*LN((C15+Q11)/(C15+R11)),"")</f>
        <v>3573.3869057886586</v>
      </c>
      <c r="O15" s="1">
        <f>IF(C15,9.8*F12*LN((C15+Q12)/(C15+R12)),"")</f>
        <v>0</v>
      </c>
      <c r="P15" s="15">
        <f>IF(C15,SUM(K15:O15),"")</f>
        <v>11991.880130855159</v>
      </c>
      <c r="Q15" s="1" t="s">
        <v>508</v>
      </c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36</v>
      </c>
      <c r="C16" s="9">
        <v>100</v>
      </c>
      <c r="D16" s="1">
        <f>IF(C16,C16+Q8,"")</f>
        <v>4990</v>
      </c>
      <c r="E16" s="72">
        <f t="shared" si="2"/>
        <v>2.004008016032064E-2</v>
      </c>
      <c r="F16" s="14" t="str">
        <f>IF(AND(C16&lt;&gt;"",N6&lt;&gt;""),(M8/F8*E6+M9/F9*D6)/(C16+Q8),"")</f>
        <v/>
      </c>
      <c r="G16" s="1">
        <f>IF(C16,IF(AND(F8&lt;&gt;0,C6&lt;&gt;0),M9,M9/F9*D6)/(C16+Q9),"")</f>
        <v>1.4711363555513393</v>
      </c>
      <c r="H16" s="1">
        <f>IF(C16,(M10)/(C16+Q10),"")</f>
        <v>0.78947368421052633</v>
      </c>
      <c r="I16" s="1">
        <f>IF(C16,(M11)/(C16+Q11),"")</f>
        <v>0.66176470588235292</v>
      </c>
      <c r="J16" s="1">
        <f>IF(C16,(M12)/(C16+Q12),"")</f>
        <v>0</v>
      </c>
      <c r="K16" s="14" t="str">
        <f>IF(AND(C16&lt;&gt;"",N6&lt;&gt;""),9.8*N6*LN((C16+Q8)/(C16+R8)),"")</f>
        <v/>
      </c>
      <c r="L16" s="1">
        <f>IF(C16,9.8*F9*LN((C16+Q9)/(C16+R9)),"")</f>
        <v>4305.9583880552318</v>
      </c>
      <c r="M16" s="1">
        <f>IF(C16,9.8*F10*LN((C16+Q10)/(C16+R10)),"")</f>
        <v>4432.8688883953391</v>
      </c>
      <c r="N16" s="1">
        <f>IF(C16,9.8*F11*LN((C16+Q11)/(C16+R11)),"")</f>
        <v>4265.2157771674538</v>
      </c>
      <c r="O16" s="1">
        <f>IF(C16,9.8*F12*LN((C16+Q12)/(C16+R12)),"")</f>
        <v>0</v>
      </c>
      <c r="P16" s="15">
        <f>IF(C16,SUM(K16:O16),"")</f>
        <v>13004.043053618025</v>
      </c>
      <c r="Q16" s="1" t="s">
        <v>509</v>
      </c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/>
      <c r="D17" s="1" t="str">
        <f>IF(C17,C17+Q8,"")</f>
        <v/>
      </c>
      <c r="E17" s="72" t="str">
        <f t="shared" si="2"/>
        <v/>
      </c>
      <c r="F17" s="14" t="str">
        <f>IF(AND(C17&lt;&gt;"",N6&lt;&gt;""),(M8/F8*E6+M9/F9*D6)/(C17+Q8),"")</f>
        <v/>
      </c>
      <c r="G17" s="1" t="str">
        <f>IF(C17,IF(AND(F8&lt;&gt;0,C6&lt;&gt;0),M9,M9/F9*D6)/(C17+Q9),"")</f>
        <v/>
      </c>
      <c r="H17" s="1" t="str">
        <f>IF(C17,(M10)/(C17+Q10),"")</f>
        <v/>
      </c>
      <c r="I17" s="1" t="str">
        <f>IF(C17,(M11)/(C17+Q11),"")</f>
        <v/>
      </c>
      <c r="J17" s="1" t="str">
        <f>IF(C17,(M12)/(C17+Q12),"")</f>
        <v/>
      </c>
      <c r="K17" s="14" t="str">
        <f>IF(AND(C17&lt;&gt;"",N6&lt;&gt;""),9.8*N6*LN((C17+Q8)/(C17+R8)),"")</f>
        <v/>
      </c>
      <c r="L17" s="1" t="str">
        <f>IF(C17,9.8*F9*LN((C17+Q9)/(C17+R9)),"")</f>
        <v/>
      </c>
      <c r="M17" s="1" t="str">
        <f>IF(C17,9.8*F10*LN((C17+Q10)/(C17+R10)),"")</f>
        <v/>
      </c>
      <c r="N17" s="1" t="str">
        <f>IF(C17,9.8*F11*LN((C17+Q11)/(C17+R11)),"")</f>
        <v/>
      </c>
      <c r="O17" s="1" t="str">
        <f>IF(C17,9.8*F12*LN((C17+Q12)/(C17+R12)),"")</f>
        <v/>
      </c>
      <c r="P17" s="15" t="str">
        <f>IF(C17,SUM(K17:O17),"")</f>
        <v/>
      </c>
      <c r="Q17" s="17"/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54</v>
      </c>
      <c r="D18" s="12" t="s">
        <v>28</v>
      </c>
      <c r="E18" s="12" t="s">
        <v>266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85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>
        <v>250</v>
      </c>
      <c r="D19" s="1">
        <f>IF(C19,C19+Q8,"")</f>
        <v>5140</v>
      </c>
      <c r="E19" s="72">
        <f>IF(C19,C19/D19,"")</f>
        <v>4.8638132295719845E-2</v>
      </c>
      <c r="F19" s="14" t="str">
        <f>IF(AND(C19&lt;&gt;"",N6&lt;&gt;""),(M8/F8*E6+M9/F9*D6)/(C19+U8),"")</f>
        <v/>
      </c>
      <c r="G19" s="1">
        <f>IF(C19,IF(AND(F8&lt;&gt;0,C6&lt;&gt;0),M9,M9/F9*D6)/(C19+U9),"")</f>
        <v>1.4282043607395298</v>
      </c>
      <c r="H19" s="1">
        <f>IF(C19,(M10)/(C19+U10),"")</f>
        <v>0.69767441860465118</v>
      </c>
      <c r="I19" s="1">
        <f>IF(C19,(M11)/(C19+U11),"")</f>
        <v>0.45918367346938777</v>
      </c>
      <c r="J19" s="1">
        <f>IF(C19,(M12)/(C19+U12),"")</f>
        <v>0</v>
      </c>
      <c r="K19" s="14" t="str">
        <f>IF(AND(C19&lt;&gt;"",N6&lt;&gt;""),9.8*N6*LN((C19+U8)/(C19+V8)),"")</f>
        <v/>
      </c>
      <c r="L19" s="1">
        <f>IF(C19,9.8*F9*LN((C19+U9)/(C19+V9)),"")</f>
        <v>3408.0786036972104</v>
      </c>
      <c r="M19" s="1">
        <f>IF(C19,9.8*F10*LN((C19+U10)/(C19+V10)),"")</f>
        <v>3625.9293894985053</v>
      </c>
      <c r="N19" s="1">
        <f>IF(C19,9.8*F11*LN((C19+U11)/(C19+V11)),"")</f>
        <v>2490.6624273108464</v>
      </c>
      <c r="O19" s="1">
        <f>IF(C19,9.8*F12*LN((C19+U12)/(C19+V12)),"")</f>
        <v>0</v>
      </c>
      <c r="P19" s="15">
        <f>IF(C19,SUM(K19:O19),"")</f>
        <v>9524.6704205065616</v>
      </c>
      <c r="Q19" s="31" t="s">
        <v>534</v>
      </c>
      <c r="R19" s="1"/>
      <c r="S19" s="1"/>
      <c r="T19" s="32" t="str">
        <f>IF(OR(F19&lt;1,AND(F19="",G19&lt;1)),"起飞推重比不得小于0，空天飞机除外","")</f>
        <v/>
      </c>
      <c r="U19" s="1"/>
      <c r="V19" s="1"/>
    </row>
    <row r="20" spans="1:22">
      <c r="A20" s="47"/>
      <c r="B20" s="27" t="s">
        <v>31</v>
      </c>
      <c r="C20" s="9">
        <v>111</v>
      </c>
      <c r="D20" s="1">
        <f>IF(C20,C20+Q8,"")</f>
        <v>5001</v>
      </c>
      <c r="E20" s="72">
        <f t="shared" ref="E20:E22" si="4">IF(C20,C20/D20,"")</f>
        <v>2.2195560887822437E-2</v>
      </c>
      <c r="F20" s="14" t="str">
        <f>IF(AND(C20&lt;&gt;"",N6&lt;&gt;""),(M8/F8*E6+M9/F9*D6)/(C20+U8),"")</f>
        <v/>
      </c>
      <c r="G20" s="1">
        <f>IF(C20,IF(AND(F8&lt;&gt;0,C6&lt;&gt;0),M9,M9/F9*D6)/(C20+U9),"")</f>
        <v>1.4679005027396888</v>
      </c>
      <c r="H20" s="1">
        <f>IF(C20,(M10)/(C20+U10),"")</f>
        <v>0.78192875760208513</v>
      </c>
      <c r="I20" s="1">
        <f>IF(C20,(M11)/(C20+U11),"")</f>
        <v>0.64102564102564108</v>
      </c>
      <c r="J20" s="1">
        <f>IF(C20,(M12)/(C20+U12),"")</f>
        <v>0</v>
      </c>
      <c r="K20" s="14" t="str">
        <f>IF(AND(C20&lt;&gt;"",N6&lt;&gt;""),9.8*N6*LN((C20+U8)/(C20+V8)),"")</f>
        <v/>
      </c>
      <c r="L20" s="1">
        <f>IF(C20,9.8*F9*LN((C20+U9)/(C20+V9)),"")</f>
        <v>3577.8878754301491</v>
      </c>
      <c r="M20" s="1">
        <f>IF(C20,9.8*F10*LN((C20+U10)/(C20+V10)),"")</f>
        <v>4360.7263676733482</v>
      </c>
      <c r="N20" s="1">
        <f>IF(C20,9.8*F11*LN((C20+U11)/(C20+V11)),"")</f>
        <v>4047.920702172461</v>
      </c>
      <c r="O20" s="1">
        <f>IF(C20,9.8*F12*LN((C20+U12)/(C20+V12)),"")</f>
        <v>0</v>
      </c>
      <c r="P20" s="15">
        <f>IF(C20,SUM(K20:O20),"")</f>
        <v>11986.534945275958</v>
      </c>
      <c r="Q20" s="1"/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>
        <v>78</v>
      </c>
      <c r="D21" s="1">
        <f>IF(C21,C21+Q8,"")</f>
        <v>4968</v>
      </c>
      <c r="E21" s="72">
        <f t="shared" si="4"/>
        <v>1.570048309178744E-2</v>
      </c>
      <c r="F21" s="14" t="str">
        <f>IF(AND(C21&lt;&gt;"",N6&lt;&gt;""),(M8/F8*E6+M9/F9*D6)/(C21+U8),"")</f>
        <v/>
      </c>
      <c r="G21" s="1">
        <f>IF(C21,IF(AND(F8&lt;&gt;0,C6&lt;&gt;0),M9,M9/F9*D6)/(C21+U9),"")</f>
        <v>1.477651049557404</v>
      </c>
      <c r="H21" s="1">
        <f>IF(C21,(M10)/(C21+U10),"")</f>
        <v>0.80500894454382832</v>
      </c>
      <c r="I21" s="1">
        <f>IF(C21,(M11)/(C21+U11),"")</f>
        <v>0.70754716981132071</v>
      </c>
      <c r="J21" s="1">
        <f>IF(C21,(M12)/(C21+U12),"")</f>
        <v>0</v>
      </c>
      <c r="K21" s="14" t="str">
        <f>IF(AND(C21&lt;&gt;"",N6&lt;&gt;""),9.8*N6*LN((C21+U8)/(C21+V8)),"")</f>
        <v/>
      </c>
      <c r="L21" s="1">
        <f>IF(C21,9.8*F9*LN((C21+U9)/(C21+V9)),"")</f>
        <v>3620.9645818158779</v>
      </c>
      <c r="M21" s="1">
        <f>IF(C21,9.8*F10*LN((C21+U10)/(C21+V10)),"")</f>
        <v>4585.2105322428361</v>
      </c>
      <c r="N21" s="1">
        <f>IF(C21,9.8*F11*LN((C21+U11)/(C21+V11)),"")</f>
        <v>4785.5621445808247</v>
      </c>
      <c r="O21" s="1">
        <f>IF(C21,9.8*F12*LN((C21+U12)/(C21+V12)),"")</f>
        <v>0</v>
      </c>
      <c r="P21" s="15">
        <f>IF(C21,SUM(K21:O21),"")</f>
        <v>12991.73725863954</v>
      </c>
      <c r="Q21" s="1"/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46</v>
      </c>
      <c r="B22" s="49" t="s">
        <v>33</v>
      </c>
      <c r="C22" s="50"/>
      <c r="D22" s="25" t="str">
        <f>IF(C22,C22+Q8,"")</f>
        <v/>
      </c>
      <c r="E22" s="73" t="str">
        <f t="shared" si="4"/>
        <v/>
      </c>
      <c r="F22" s="70" t="str">
        <f>IF(AND(C22&lt;&gt;"",N6&lt;&gt;""),(M8/F8*E6+M9/F9*D6)/(C22+U8),"")</f>
        <v/>
      </c>
      <c r="G22" s="25" t="str">
        <f>IF(C22,IF(AND(F8&lt;&gt;0,C6&lt;&gt;0),M9,M9/F9*D6)/(C22+U9),"")</f>
        <v/>
      </c>
      <c r="H22" s="25" t="str">
        <f>IF(C22,(M10)/(C22+U10),"")</f>
        <v/>
      </c>
      <c r="I22" s="25" t="str">
        <f>IF(C22,(M11)/(C22+U11),"")</f>
        <v/>
      </c>
      <c r="J22" s="25" t="str">
        <f>IF(C22,(M12)/(C22+U12),"")</f>
        <v/>
      </c>
      <c r="K22" s="70" t="str">
        <f>IF(AND(C22&lt;&gt;"",N6&lt;&gt;""),9.8*N6*LN((C22+U8)/(C22+V8)),"")</f>
        <v/>
      </c>
      <c r="L22" s="25" t="str">
        <f>IF(C22,9.8*F9*LN((C22+U9)/(C22+V9)),"")</f>
        <v/>
      </c>
      <c r="M22" s="25" t="str">
        <f>IF(C22,9.8*F10*LN((C22+U10)/(C22+V10)),"")</f>
        <v/>
      </c>
      <c r="N22" s="25" t="str">
        <f>IF(C22,9.8*F11*LN((C22+U11)/(C22+V11)),"")</f>
        <v/>
      </c>
      <c r="O22" s="25" t="str">
        <f>IF(C22,9.8*F12*LN((C22+U12)/(C22+V12)),"")</f>
        <v/>
      </c>
      <c r="P22" s="71" t="str">
        <f>IF(C22,SUM(K22:O22),"")</f>
        <v/>
      </c>
      <c r="Q22" s="25"/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480</v>
      </c>
      <c r="B24" s="52"/>
      <c r="C24" s="29" t="s">
        <v>0</v>
      </c>
      <c r="D24" s="90" t="s">
        <v>41</v>
      </c>
      <c r="E24" s="90"/>
      <c r="F24" s="43"/>
      <c r="G24" s="43"/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481</v>
      </c>
      <c r="B25" s="39"/>
      <c r="C25" s="2">
        <v>0</v>
      </c>
      <c r="D25" s="2">
        <v>308</v>
      </c>
      <c r="E25" s="2">
        <v>0</v>
      </c>
      <c r="F25" s="41"/>
      <c r="G25" s="42"/>
      <c r="H25" s="42"/>
      <c r="I25" s="24" t="s">
        <v>504</v>
      </c>
      <c r="J25" s="24"/>
      <c r="K25" s="24"/>
      <c r="L25" s="55">
        <f>IFERROR(IF(AND(F27&lt;&gt;0,C25&lt;&gt;0),M27/F27*E25+M28/F28*D25,M28/F28*D25),0)</f>
        <v>7340.9704142011833</v>
      </c>
      <c r="M25" s="53" t="s">
        <v>45</v>
      </c>
      <c r="N25" s="17" t="str">
        <f>IF(AND(F27&lt;&gt;0,C25&lt;&gt;0),(M27+M28)/(M27/F27+M28/F28),"")</f>
        <v/>
      </c>
      <c r="O25" s="56" t="s">
        <v>46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24"/>
      <c r="J26" s="24"/>
      <c r="K26" s="24"/>
      <c r="L26" s="11" t="s">
        <v>6</v>
      </c>
      <c r="M26" s="12" t="s">
        <v>69</v>
      </c>
      <c r="N26" s="12" t="s">
        <v>15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16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/>
      <c r="D27" s="4"/>
      <c r="E27" s="4"/>
      <c r="F27" s="4"/>
      <c r="G27" s="19"/>
      <c r="H27" s="20"/>
      <c r="I27" s="24"/>
      <c r="J27" s="24"/>
      <c r="K27" s="24"/>
      <c r="L27" s="14">
        <f>C27*C25</f>
        <v>0</v>
      </c>
      <c r="M27" s="1">
        <f>E27*C25</f>
        <v>0</v>
      </c>
      <c r="N27" s="1">
        <f>IF(D27,L27/D27,0)</f>
        <v>0</v>
      </c>
      <c r="O27" s="15">
        <f>L27-N27</f>
        <v>0</v>
      </c>
      <c r="P27" s="14">
        <f>IF(AND(F27&lt;&gt;0,C25&lt;&gt;0),O27/M27*F27/IF(G27,G27,1),0)</f>
        <v>0</v>
      </c>
      <c r="Q27" s="1">
        <f>SUM(L27:L31)</f>
        <v>4650</v>
      </c>
      <c r="R27" s="15">
        <f>N27+Q28</f>
        <v>4650</v>
      </c>
      <c r="S27" s="14">
        <f>N27+H27*O27</f>
        <v>0</v>
      </c>
      <c r="T27" s="1">
        <f>IF(AND(F27&lt;&gt;0,C25&lt;&gt;0),(1-H27)*O27/M27*F27/IF(G27,G27,1),0)</f>
        <v>0</v>
      </c>
      <c r="U27" s="1">
        <f>SUM(L27:L31)</f>
        <v>4650</v>
      </c>
      <c r="V27" s="1">
        <f>S27+U28</f>
        <v>4650</v>
      </c>
    </row>
    <row r="28" spans="1:22">
      <c r="A28" s="47"/>
      <c r="B28" s="27">
        <v>1</v>
      </c>
      <c r="C28" s="5">
        <v>3850</v>
      </c>
      <c r="D28" s="1">
        <v>17.5</v>
      </c>
      <c r="E28" s="1">
        <v>8056</v>
      </c>
      <c r="F28" s="1">
        <v>338</v>
      </c>
      <c r="G28" s="5">
        <v>1</v>
      </c>
      <c r="H28" s="21">
        <v>9.01E-2</v>
      </c>
      <c r="I28" s="30" t="s">
        <v>505</v>
      </c>
      <c r="J28" s="30"/>
      <c r="K28" s="30"/>
      <c r="L28" s="14">
        <f>C28</f>
        <v>3850</v>
      </c>
      <c r="M28" s="1">
        <f>E28</f>
        <v>8056</v>
      </c>
      <c r="N28" s="1">
        <f>IF(D28,L28/D28,0)</f>
        <v>220</v>
      </c>
      <c r="O28" s="15">
        <f>L28-N28</f>
        <v>3630</v>
      </c>
      <c r="P28" s="14">
        <f t="shared" ref="P28:P31" si="6">IF(F28,O28/M28*F28/IF(G28,G28,1),0)</f>
        <v>152.30139026812313</v>
      </c>
      <c r="Q28" s="1">
        <f>IF(F28,SUM(L28:L31)-P27*M28/F28*IF(G28,G28,1),0)</f>
        <v>4650</v>
      </c>
      <c r="R28" s="15">
        <f>N28+Q29</f>
        <v>1020</v>
      </c>
      <c r="S28" s="14">
        <f>N28+H28*O28</f>
        <v>547.06299999999999</v>
      </c>
      <c r="T28" s="1">
        <f>IF(F28,(1-H28)*O28/M28*F28/IF(G28,G28,1),0)</f>
        <v>138.57903500496525</v>
      </c>
      <c r="U28" s="1">
        <f>IF(F28,SUM(L28:L31)-T27*M28/F28*IF(G28,G28,1),0)</f>
        <v>4650</v>
      </c>
      <c r="V28" s="1">
        <f>S28+U29</f>
        <v>1347.0630000000001</v>
      </c>
    </row>
    <row r="29" spans="1:22">
      <c r="A29" s="47"/>
      <c r="B29" s="27">
        <v>2</v>
      </c>
      <c r="C29" s="5">
        <v>800</v>
      </c>
      <c r="D29" s="1">
        <v>10</v>
      </c>
      <c r="E29" s="1">
        <v>900</v>
      </c>
      <c r="F29" s="1">
        <v>453</v>
      </c>
      <c r="G29" s="5"/>
      <c r="H29" s="21"/>
      <c r="I29" s="30" t="s">
        <v>506</v>
      </c>
      <c r="J29" s="30"/>
      <c r="K29" s="30"/>
      <c r="L29" s="14">
        <f>C29</f>
        <v>800</v>
      </c>
      <c r="M29" s="1">
        <f>E29</f>
        <v>900</v>
      </c>
      <c r="N29" s="1">
        <f>IF(D29,L29/D29,0)</f>
        <v>80</v>
      </c>
      <c r="O29" s="15">
        <f>L29-N29</f>
        <v>720</v>
      </c>
      <c r="P29" s="14">
        <f t="shared" si="6"/>
        <v>362.40000000000003</v>
      </c>
      <c r="Q29" s="1">
        <f>SUM(L29:L31)</f>
        <v>800</v>
      </c>
      <c r="R29" s="15">
        <f>N29+Q30</f>
        <v>80</v>
      </c>
      <c r="S29" s="14">
        <f>N29+H29*O29</f>
        <v>80</v>
      </c>
      <c r="T29" s="1">
        <f t="shared" ref="T29:T31" si="7">IF(F29,(1-H29)*O29/M29*F29/IF(G29,G29,1),0)</f>
        <v>362.40000000000003</v>
      </c>
      <c r="U29" s="1">
        <f>SUM(L29:L31)</f>
        <v>800</v>
      </c>
      <c r="V29" s="1">
        <f>S29+U30</f>
        <v>80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/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24"/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265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264</v>
      </c>
    </row>
    <row r="33" spans="1:22">
      <c r="A33" s="47"/>
      <c r="B33" s="27" t="s">
        <v>30</v>
      </c>
      <c r="C33" s="8">
        <v>260</v>
      </c>
      <c r="D33" s="1">
        <f>IF(C33,C33+Q27,"")</f>
        <v>4910</v>
      </c>
      <c r="E33" s="72">
        <f>IF(C33,C33/D33,"")</f>
        <v>5.2953156822810592E-2</v>
      </c>
      <c r="F33" s="14" t="str">
        <f>IF(AND(C33&lt;&gt;"",N25&lt;&gt;""),(M27/F27*E25+M28/F28*D25)/(C33+Q27),"")</f>
        <v/>
      </c>
      <c r="G33" s="1">
        <f>IF(C33,IF(AND(F27&lt;&gt;0,C25&lt;&gt;0),M28,M28/F28*D25)/(C33+Q28),"")</f>
        <v>1.4951059906723387</v>
      </c>
      <c r="H33" s="1">
        <f>IF(C33,(M29)/(C33+Q29),"")</f>
        <v>0.84905660377358494</v>
      </c>
      <c r="I33" s="1">
        <f>IF(C33,(M30)/(C33+Q30),"")</f>
        <v>0</v>
      </c>
      <c r="J33" s="1">
        <f>IF(C33,(M31)/(C33+Q31),"")</f>
        <v>0</v>
      </c>
      <c r="K33" s="14" t="str">
        <f>IF(AND(C33&lt;&gt;"",N25&lt;&gt;""),9.8*N25*LN((C33+Q27)/(C33+R27)),"")</f>
        <v/>
      </c>
      <c r="L33" s="1">
        <f>IF(C33,9.8*F28*LN((C33+Q28)/(C33+R28)),"")</f>
        <v>4453.2364826992307</v>
      </c>
      <c r="M33" s="1">
        <f>IF(C33,9.8*F29*LN((C33+Q29)/(C33+R29)),"")</f>
        <v>5047.9466014201253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9501.183084119355</v>
      </c>
      <c r="Q33" s="1"/>
      <c r="R33" s="1"/>
      <c r="S33" s="1"/>
      <c r="T33" s="32" t="str">
        <f>IF(OR(F33&lt;1,AND(F33="",G33&lt;1)),"起飞推重比不得小于0，空天飞机除外","")</f>
        <v/>
      </c>
      <c r="U33" s="1"/>
      <c r="V33" s="1"/>
    </row>
    <row r="34" spans="1:22">
      <c r="A34" s="33" t="s">
        <v>47</v>
      </c>
      <c r="B34" s="27" t="s">
        <v>31</v>
      </c>
      <c r="C34" s="9"/>
      <c r="D34" s="1" t="str">
        <f>IF(C34,C34+Q27,"")</f>
        <v/>
      </c>
      <c r="E34" s="72" t="str">
        <f t="shared" ref="E34:E36" si="8">IF(C34,C34/D34,"")</f>
        <v/>
      </c>
      <c r="F34" s="14" t="str">
        <f>IF(AND(C34&lt;&gt;"",N25&lt;&gt;""),(M27/F27*E25+M28/F28*D25)/(C34+Q27),"")</f>
        <v/>
      </c>
      <c r="G34" s="1" t="str">
        <f>IF(C34,IF(AND(F27&lt;&gt;0,C25&lt;&gt;0),M28,M28/F28*D25)/(C34+Q28),"")</f>
        <v/>
      </c>
      <c r="H34" s="1" t="str">
        <f>IF(C34,(M29)/(C34+Q29),"")</f>
        <v/>
      </c>
      <c r="I34" s="1" t="str">
        <f>IF(C34,(M30)/(C34+Q30),"")</f>
        <v/>
      </c>
      <c r="J34" s="1" t="str">
        <f>IF(C34,(M31)/(C34+Q31),"")</f>
        <v/>
      </c>
      <c r="K34" s="14" t="str">
        <f>IF(AND(C34&lt;&gt;"",N25&lt;&gt;""),9.8*N25*LN((C34+Q27)/(C34+R27)),"")</f>
        <v/>
      </c>
      <c r="L34" s="1" t="str">
        <f>IF(C34,9.8*F28*LN((C34+Q28)/(C34+R28)),"")</f>
        <v/>
      </c>
      <c r="M34" s="1" t="str">
        <f>IF(C34,9.8*F29*LN((C34+Q29)/(C34+R29)),"")</f>
        <v/>
      </c>
      <c r="N34" s="1" t="str">
        <f>IF(C34,9.8*F30*LN((C34+Q30)/(C34+R30)),"")</f>
        <v/>
      </c>
      <c r="O34" s="1" t="str">
        <f>IF(C34,9.8*F31*LN((C34+Q31)/(C34+R31)),"")</f>
        <v/>
      </c>
      <c r="P34" s="15" t="str">
        <f>IF(C34,SUM(K34:O34),"")</f>
        <v/>
      </c>
      <c r="Q34" s="1"/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36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/>
      <c r="D36" s="1" t="str">
        <f>IF(C36,C36+Q27,"")</f>
        <v/>
      </c>
      <c r="E36" s="72" t="str">
        <f t="shared" si="8"/>
        <v/>
      </c>
      <c r="F36" s="14" t="str">
        <f>IF(AND(C36&lt;&gt;"",N25&lt;&gt;""),(M27/F27*E25+M28/F28*D25)/(C36+Q27),"")</f>
        <v/>
      </c>
      <c r="G36" s="1" t="str">
        <f>IF(C36,IF(AND(F27&lt;&gt;0,C25&lt;&gt;0),M28,M28/F28*D25)/(C36+Q28),"")</f>
        <v/>
      </c>
      <c r="H36" s="1" t="str">
        <f>IF(C36,(M29)/(C36+Q29),"")</f>
        <v/>
      </c>
      <c r="I36" s="1" t="str">
        <f>IF(C36,(M30)/(C36+Q30),"")</f>
        <v/>
      </c>
      <c r="J36" s="1" t="str">
        <f>IF(C36,(M31)/(C36+Q31),"")</f>
        <v/>
      </c>
      <c r="K36" s="14" t="str">
        <f>IF(AND(C36&lt;&gt;"",N25&lt;&gt;""),9.8*N25*LN((C36+Q27)/(C36+R27)),"")</f>
        <v/>
      </c>
      <c r="L36" s="1" t="str">
        <f>IF(C36,9.8*F28*LN((C36+Q28)/(C36+R28)),"")</f>
        <v/>
      </c>
      <c r="M36" s="1" t="str">
        <f>IF(C36,9.8*F29*LN((C36+Q29)/(C36+R29)),"")</f>
        <v/>
      </c>
      <c r="N36" s="1" t="str">
        <f>IF(C36,9.8*F30*LN((C36+Q30)/(C36+R30)),"")</f>
        <v/>
      </c>
      <c r="O36" s="1" t="str">
        <f>IF(C36,9.8*F31*LN((C36+Q31)/(C36+R31)),"")</f>
        <v/>
      </c>
      <c r="P36" s="15" t="str">
        <f>IF(C36,SUM(K36:O36),"")</f>
        <v/>
      </c>
      <c r="Q36" s="17"/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54</v>
      </c>
      <c r="D37" s="12" t="s">
        <v>28</v>
      </c>
      <c r="E37" s="12" t="s">
        <v>266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>
        <v>195</v>
      </c>
      <c r="D38" s="1">
        <f>IF(C38,C38+Q27,"")</f>
        <v>4845</v>
      </c>
      <c r="E38" s="72">
        <f>IF(C38,C38/D38,"")</f>
        <v>4.0247678018575851E-2</v>
      </c>
      <c r="F38" s="14" t="str">
        <f>IF(AND(C38&lt;&gt;"",N25&lt;&gt;""),(M27/F27*E25+M28/F28*D25)/(C38+U27),"")</f>
        <v/>
      </c>
      <c r="G38" s="1">
        <f>IF(C38,IF(AND(F27&lt;&gt;0,C25&lt;&gt;0),M28,M28/F28*D25)/(C38+U28),"")</f>
        <v>1.5151641721777469</v>
      </c>
      <c r="H38" s="1">
        <f>IF(C38,(M29)/(C38+U29),"")</f>
        <v>0.90452261306532666</v>
      </c>
      <c r="I38" s="1">
        <f>IF(C38,(M30)/(C38+U30),"")</f>
        <v>0</v>
      </c>
      <c r="J38" s="1">
        <f>IF(C38,(M31)/(C38+U31),"")</f>
        <v>0</v>
      </c>
      <c r="K38" s="14" t="str">
        <f>IF(AND(C38&lt;&gt;"",N25&lt;&gt;""),9.8*N25*LN((C38+U27)/(C38+V27)),"")</f>
        <v/>
      </c>
      <c r="L38" s="1">
        <f>IF(C38,9.8*F28*LN((C38+U28)/(C38+V28)),"")</f>
        <v>3792.1220233427221</v>
      </c>
      <c r="M38" s="1">
        <f>IF(C38,9.8*F29*LN((C38+U29)/(C38+V29)),"")</f>
        <v>5708.9424963608808</v>
      </c>
      <c r="N38" s="1">
        <f>IF(C38,9.8*F30*LN((C38+U30)/(C38+V30)),"")</f>
        <v>0</v>
      </c>
      <c r="O38" s="1">
        <f>IF(C38,9.8*F31*LN((C38+U31)/(C38+V31)),"")</f>
        <v>0</v>
      </c>
      <c r="P38" s="15">
        <f>IF(C38,SUM(K38:O38),"")</f>
        <v>9501.0645197036029</v>
      </c>
      <c r="Q38" s="1" t="s">
        <v>535</v>
      </c>
      <c r="R38" s="1"/>
      <c r="S38" s="1"/>
      <c r="T38" s="32" t="str">
        <f>IF(OR(F38&lt;1,AND(F38="",G38&lt;1)),"起飞推重比不得小于0，空天飞机除外","")</f>
        <v/>
      </c>
      <c r="U38" s="1"/>
      <c r="V38" s="1"/>
    </row>
    <row r="39" spans="1:22">
      <c r="A39" s="47"/>
      <c r="B39" s="27" t="s">
        <v>31</v>
      </c>
      <c r="C39" s="9"/>
      <c r="D39" s="1" t="str">
        <f>IF(C39,C39+Q27,"")</f>
        <v/>
      </c>
      <c r="E39" s="72" t="str">
        <f t="shared" ref="E39:E41" si="10">IF(C39,C39/D39,"")</f>
        <v/>
      </c>
      <c r="F39" s="14" t="str">
        <f>IF(AND(C39&lt;&gt;"",N25&lt;&gt;""),(M27/F27*E25+M28/F28*D25)/(C39+U27),"")</f>
        <v/>
      </c>
      <c r="G39" s="1" t="str">
        <f>IF(C39,IF(AND(F27&lt;&gt;0,C25&lt;&gt;0),M28,M28/F28*D25)/(C39+U28),"")</f>
        <v/>
      </c>
      <c r="H39" s="1" t="str">
        <f>IF(C39,(M29)/(C39+U29),"")</f>
        <v/>
      </c>
      <c r="I39" s="1" t="str">
        <f>IF(C39,(M30)/(C39+U30),"")</f>
        <v/>
      </c>
      <c r="J39" s="1" t="str">
        <f>IF(C39,(M31)/(C39+U31),"")</f>
        <v/>
      </c>
      <c r="K39" s="14" t="str">
        <f>IF(AND(C39&lt;&gt;"",N25&lt;&gt;""),9.8*N25*LN((C39+U27)/(C39+V27)),"")</f>
        <v/>
      </c>
      <c r="L39" s="1" t="str">
        <f>IF(C39,9.8*F28*LN((C39+U28)/(C39+V28)),"")</f>
        <v/>
      </c>
      <c r="M39" s="1" t="str">
        <f>IF(C39,9.8*F29*LN((C39+U29)/(C39+V29)),"")</f>
        <v/>
      </c>
      <c r="N39" s="1" t="str">
        <f>IF(C39,9.8*F30*LN((C39+U30)/(C39+V30)),"")</f>
        <v/>
      </c>
      <c r="O39" s="1" t="str">
        <f>IF(C39,9.8*F31*LN((C39+U31)/(C39+V31)),"")</f>
        <v/>
      </c>
      <c r="P39" s="15" t="str">
        <f>IF(C39,SUM(K39:O39),"")</f>
        <v/>
      </c>
      <c r="Q39" s="1" t="s">
        <v>537</v>
      </c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/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46</v>
      </c>
      <c r="B41" s="49" t="s">
        <v>33</v>
      </c>
      <c r="C41" s="50"/>
      <c r="D41" s="25" t="str">
        <f>IF(C41,C41+Q27,"")</f>
        <v/>
      </c>
      <c r="E41" s="73" t="str">
        <f t="shared" si="10"/>
        <v/>
      </c>
      <c r="F41" s="70" t="str">
        <f>IF(AND(C41&lt;&gt;"",N25&lt;&gt;""),(M27/F27*E25+M28/F28*D25)/(C41+U27),"")</f>
        <v/>
      </c>
      <c r="G41" s="25" t="str">
        <f>IF(C41,IF(AND(F27&lt;&gt;0,C25&lt;&gt;0),M28,M28/F28*D25)/(C41+U28),"")</f>
        <v/>
      </c>
      <c r="H41" s="25" t="str">
        <f>IF(C41,(M29)/(C41+U29),"")</f>
        <v/>
      </c>
      <c r="I41" s="25" t="str">
        <f>IF(C41,(M30)/(C41+U30),"")</f>
        <v/>
      </c>
      <c r="J41" s="25" t="str">
        <f>IF(C41,(M31)/(C41+U31),"")</f>
        <v/>
      </c>
      <c r="K41" s="70" t="str">
        <f>IF(AND(C41&lt;&gt;"",N25&lt;&gt;""),9.8*N25*LN((C41+U27)/(C41+V27)),"")</f>
        <v/>
      </c>
      <c r="L41" s="25" t="str">
        <f>IF(C41,9.8*F28*LN((C41+U28)/(C41+V28)),"")</f>
        <v/>
      </c>
      <c r="M41" s="25" t="str">
        <f>IF(C41,9.8*F29*LN((C41+U29)/(C41+V29)),"")</f>
        <v/>
      </c>
      <c r="N41" s="25" t="str">
        <f>IF(C41,9.8*F30*LN((C41+U30)/(C41+V30)),"")</f>
        <v/>
      </c>
      <c r="O41" s="25" t="str">
        <f>IF(C41,9.8*F31*LN((C41+U31)/(C41+V31)),"")</f>
        <v/>
      </c>
      <c r="P41" s="71" t="str">
        <f>IF(C41,SUM(K41:O41),"")</f>
        <v/>
      </c>
      <c r="Q41" s="25"/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482</v>
      </c>
      <c r="B43" s="52"/>
      <c r="C43" s="29" t="s">
        <v>0</v>
      </c>
      <c r="D43" s="90" t="s">
        <v>41</v>
      </c>
      <c r="E43" s="90"/>
      <c r="F43" s="43"/>
      <c r="G43" s="43"/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483</v>
      </c>
      <c r="B44" s="39"/>
      <c r="C44" s="2">
        <v>0</v>
      </c>
      <c r="D44" s="2">
        <v>319</v>
      </c>
      <c r="E44" s="2">
        <v>0</v>
      </c>
      <c r="F44" s="41"/>
      <c r="G44" s="42"/>
      <c r="H44" s="42"/>
      <c r="I44" s="24" t="s">
        <v>426</v>
      </c>
      <c r="J44" s="24"/>
      <c r="K44" s="24"/>
      <c r="L44" s="55">
        <f>IFERROR(IF(AND(F46&lt;&gt;0,C44&lt;&gt;0),M46/F46*E44+M47/F47*D44,M47/F47*D44),0)</f>
        <v>2653.329411764706</v>
      </c>
      <c r="M44" s="53" t="s">
        <v>45</v>
      </c>
      <c r="N44" s="17" t="str">
        <f>IF(AND(F46&lt;&gt;0,C44&lt;&gt;0),(M46+M47)/(M46/F46+M47/F47),"")</f>
        <v/>
      </c>
      <c r="O44" s="56" t="s">
        <v>46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60</v>
      </c>
      <c r="D45" s="1" t="s">
        <v>61</v>
      </c>
      <c r="E45" s="1" t="s">
        <v>62</v>
      </c>
      <c r="F45" s="1" t="s">
        <v>63</v>
      </c>
      <c r="G45" s="1" t="s">
        <v>64</v>
      </c>
      <c r="H45" s="1" t="s">
        <v>65</v>
      </c>
      <c r="I45" s="24"/>
      <c r="J45" s="24"/>
      <c r="K45" s="24"/>
      <c r="L45" s="11" t="s">
        <v>6</v>
      </c>
      <c r="M45" s="12" t="s">
        <v>69</v>
      </c>
      <c r="N45" s="12" t="s">
        <v>15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16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/>
      <c r="D46" s="4"/>
      <c r="E46" s="4"/>
      <c r="F46" s="4"/>
      <c r="G46" s="19"/>
      <c r="H46" s="20"/>
      <c r="I46" s="24"/>
      <c r="J46" s="24"/>
      <c r="K46" s="24"/>
      <c r="L46" s="14">
        <f>C46*C44</f>
        <v>0</v>
      </c>
      <c r="M46" s="1">
        <f>E46*C44</f>
        <v>0</v>
      </c>
      <c r="N46" s="1">
        <f>IF(D46,L46/D46,0)</f>
        <v>0</v>
      </c>
      <c r="O46" s="15">
        <f>L46-N46</f>
        <v>0</v>
      </c>
      <c r="P46" s="14">
        <f>IF(AND(F46&lt;&gt;0,C44&lt;&gt;0),O46/M46*F46/IF(G46,G46,1),0)</f>
        <v>0</v>
      </c>
      <c r="Q46" s="1">
        <f>SUM(L46:L50)</f>
        <v>2130</v>
      </c>
      <c r="R46" s="15">
        <f>N46+Q47</f>
        <v>2130</v>
      </c>
      <c r="S46" s="14">
        <f>N46+H46*O46</f>
        <v>0</v>
      </c>
      <c r="T46" s="1">
        <f>IF(AND(F46&lt;&gt;0,C44&lt;&gt;0),(1-H46)*O46/M46*F46/IF(G46,G46,1),0)</f>
        <v>0</v>
      </c>
      <c r="U46" s="1">
        <f>SUM(L46:L50)</f>
        <v>2130</v>
      </c>
      <c r="V46" s="1">
        <f>S46+U47</f>
        <v>2130</v>
      </c>
    </row>
    <row r="47" spans="1:22">
      <c r="A47" s="47"/>
      <c r="B47" s="27">
        <v>1</v>
      </c>
      <c r="C47" s="5">
        <v>1560</v>
      </c>
      <c r="D47" s="1">
        <v>16</v>
      </c>
      <c r="E47" s="1">
        <v>2969.4</v>
      </c>
      <c r="F47" s="1">
        <v>357</v>
      </c>
      <c r="G47" s="5">
        <v>1</v>
      </c>
      <c r="H47" s="21">
        <v>9.4E-2</v>
      </c>
      <c r="I47" s="30" t="s">
        <v>427</v>
      </c>
      <c r="J47" s="30"/>
      <c r="K47" s="30"/>
      <c r="L47" s="14">
        <f>C47</f>
        <v>1560</v>
      </c>
      <c r="M47" s="1">
        <f>E47</f>
        <v>2969.4</v>
      </c>
      <c r="N47" s="1">
        <f>IF(D47,L47/D47,0)</f>
        <v>97.5</v>
      </c>
      <c r="O47" s="15">
        <f>L47-N47</f>
        <v>1462.5</v>
      </c>
      <c r="P47" s="14">
        <f t="shared" ref="P47:P50" si="12">IF(F47,O47/M47*F47/IF(G47,G47,1),0)</f>
        <v>175.83097595473834</v>
      </c>
      <c r="Q47" s="1">
        <f>IF(F47,SUM(L47:L50)-P46*M47/F47*IF(G47,G47,1),0)</f>
        <v>2130</v>
      </c>
      <c r="R47" s="15">
        <f>N47+Q48</f>
        <v>667.5</v>
      </c>
      <c r="S47" s="14">
        <f>N47+H47*O47</f>
        <v>234.97499999999999</v>
      </c>
      <c r="T47" s="1">
        <f>IF(F47,(1-H47)*O47/M47*F47/IF(G47,G47,1),0)</f>
        <v>159.30286421499295</v>
      </c>
      <c r="U47" s="1">
        <f>IF(F47,SUM(L47:L50)-T46*M47/F47*IF(G47,G47,1),0)</f>
        <v>2130</v>
      </c>
      <c r="V47" s="1">
        <f>S47+U48</f>
        <v>804.97500000000002</v>
      </c>
    </row>
    <row r="48" spans="1:22">
      <c r="A48" s="47"/>
      <c r="B48" s="27">
        <v>2</v>
      </c>
      <c r="C48" s="5">
        <v>440</v>
      </c>
      <c r="D48" s="1">
        <v>16</v>
      </c>
      <c r="E48" s="1">
        <v>480</v>
      </c>
      <c r="F48" s="1">
        <v>375</v>
      </c>
      <c r="G48" s="5"/>
      <c r="H48" s="21"/>
      <c r="I48" s="30" t="s">
        <v>428</v>
      </c>
      <c r="J48" s="30"/>
      <c r="K48" s="30"/>
      <c r="L48" s="14">
        <f>C48</f>
        <v>440</v>
      </c>
      <c r="M48" s="1">
        <f>E48</f>
        <v>480</v>
      </c>
      <c r="N48" s="1">
        <f>IF(D48,L48/D48,0)</f>
        <v>27.5</v>
      </c>
      <c r="O48" s="15">
        <f>L48-N48</f>
        <v>412.5</v>
      </c>
      <c r="P48" s="14">
        <f t="shared" si="12"/>
        <v>322.265625</v>
      </c>
      <c r="Q48" s="1">
        <f>SUM(L48:L50)</f>
        <v>570</v>
      </c>
      <c r="R48" s="15">
        <f>N48+Q49</f>
        <v>157.5</v>
      </c>
      <c r="S48" s="14">
        <f>N48+H48*O48</f>
        <v>27.5</v>
      </c>
      <c r="T48" s="1">
        <f t="shared" ref="T48:T50" si="13">IF(F48,(1-H48)*O48/M48*F48/IF(G48,G48,1),0)</f>
        <v>322.265625</v>
      </c>
      <c r="U48" s="1">
        <f>SUM(L48:L50)</f>
        <v>570</v>
      </c>
      <c r="V48" s="1">
        <f>S48+U49</f>
        <v>157.5</v>
      </c>
    </row>
    <row r="49" spans="1:22">
      <c r="A49" s="33" t="s">
        <v>45</v>
      </c>
      <c r="B49" s="27">
        <v>3</v>
      </c>
      <c r="C49" s="5">
        <v>130</v>
      </c>
      <c r="D49" s="1">
        <v>7</v>
      </c>
      <c r="E49" s="1">
        <v>122</v>
      </c>
      <c r="F49" s="1">
        <v>445</v>
      </c>
      <c r="G49" s="5"/>
      <c r="H49" s="21"/>
      <c r="I49" s="30" t="s">
        <v>429</v>
      </c>
      <c r="J49" s="30"/>
      <c r="K49" s="30"/>
      <c r="L49" s="14">
        <f>C49</f>
        <v>130</v>
      </c>
      <c r="M49" s="1">
        <f>E49</f>
        <v>122</v>
      </c>
      <c r="N49" s="1">
        <f>IF(D49,L49/D49,0)</f>
        <v>18.571428571428573</v>
      </c>
      <c r="O49" s="15">
        <f>L49-N49</f>
        <v>111.42857142857143</v>
      </c>
      <c r="P49" s="14">
        <f t="shared" si="12"/>
        <v>406.44028103044496</v>
      </c>
      <c r="Q49" s="1">
        <f>SUM(L49:L50)</f>
        <v>130</v>
      </c>
      <c r="R49" s="15">
        <f>N49+Q50</f>
        <v>18.571428571428573</v>
      </c>
      <c r="S49" s="14">
        <f>N49+H49*O49</f>
        <v>18.571428571428573</v>
      </c>
      <c r="T49" s="1">
        <f t="shared" si="13"/>
        <v>406.44028103044496</v>
      </c>
      <c r="U49" s="1">
        <f>SUM(L49:L50)</f>
        <v>130</v>
      </c>
      <c r="V49" s="1">
        <f>S49+U50</f>
        <v>18.571428571428573</v>
      </c>
    </row>
    <row r="50" spans="1:22" ht="15" thickBot="1">
      <c r="A50" s="40"/>
      <c r="B50" s="28">
        <v>4</v>
      </c>
      <c r="C50" s="6"/>
      <c r="D50" s="7"/>
      <c r="E50" s="7"/>
      <c r="F50" s="7"/>
      <c r="G50" s="22"/>
      <c r="H50" s="23"/>
      <c r="I50" s="24"/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2" ht="15" thickBot="1">
      <c r="A51" s="47"/>
      <c r="B51" s="26" t="s">
        <v>38</v>
      </c>
      <c r="C51" s="1" t="s">
        <v>4</v>
      </c>
      <c r="D51" s="1" t="s">
        <v>28</v>
      </c>
      <c r="E51" s="1" t="s">
        <v>265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264</v>
      </c>
    </row>
    <row r="52" spans="1:22">
      <c r="A52" s="47"/>
      <c r="B52" s="27" t="s">
        <v>30</v>
      </c>
      <c r="C52" s="8"/>
      <c r="D52" s="1" t="str">
        <f>IF(C52,C52+Q46,"")</f>
        <v/>
      </c>
      <c r="E52" s="72" t="str">
        <f>IF(C52,C52/D52,"")</f>
        <v/>
      </c>
      <c r="F52" s="14" t="str">
        <f>IF(AND(C52&lt;&gt;"",N44&lt;&gt;""),(M46/F46*E44+M47/F47*D44)/(C52+Q46),"")</f>
        <v/>
      </c>
      <c r="G52" s="1" t="str">
        <f>IF(C52,IF(AND(F46&lt;&gt;0,C44&lt;&gt;0),M47,M47/F47*D44)/(C52+Q47),"")</f>
        <v/>
      </c>
      <c r="H52" s="1" t="str">
        <f>IF(C52,(M48)/(C52+Q48),"")</f>
        <v/>
      </c>
      <c r="I52" s="1" t="str">
        <f>IF(C52,(M49)/(C52+Q49),"")</f>
        <v/>
      </c>
      <c r="J52" s="1" t="str">
        <f>IF(C52,(M50)/(C52+Q50),"")</f>
        <v/>
      </c>
      <c r="K52" s="14" t="str">
        <f>IF(AND(C52&lt;&gt;"",N44&lt;&gt;""),9.8*N44*LN((C52+Q46)/(C52+R46)),"")</f>
        <v/>
      </c>
      <c r="L52" s="1" t="str">
        <f>IF(C52,9.8*F47*LN((C52+Q47)/(C52+R47)),"")</f>
        <v/>
      </c>
      <c r="M52" s="1" t="str">
        <f>IF(C52,9.8*F48*LN((C52+Q48)/(C52+R48)),"")</f>
        <v/>
      </c>
      <c r="N52" s="1" t="str">
        <f>IF(C52,9.8*F49*LN((C52+Q49)/(C52+R49)),"")</f>
        <v/>
      </c>
      <c r="O52" s="1" t="str">
        <f>IF(C52,9.8*F50*LN((C52+Q50)/(C52+R50)),"")</f>
        <v/>
      </c>
      <c r="P52" s="15" t="str">
        <f>IF(C52,SUM(K52:O52),"")</f>
        <v/>
      </c>
      <c r="Q52" s="1"/>
      <c r="R52" s="1"/>
      <c r="S52" s="1"/>
      <c r="T52" s="32" t="str">
        <f>IF(OR(F52&lt;1,AND(F52="",G52&lt;1)),"起飞推重比不得小于0，空天飞机除外","")</f>
        <v/>
      </c>
      <c r="U52" s="1"/>
      <c r="V52" s="1"/>
    </row>
    <row r="53" spans="1:22">
      <c r="A53" s="33" t="s">
        <v>47</v>
      </c>
      <c r="B53" s="27" t="s">
        <v>31</v>
      </c>
      <c r="C53" s="9"/>
      <c r="D53" s="1" t="str">
        <f>IF(C53,C53+Q46,"")</f>
        <v/>
      </c>
      <c r="E53" s="72" t="str">
        <f t="shared" ref="E53:E55" si="14">IF(C53,C53/D53,"")</f>
        <v/>
      </c>
      <c r="F53" s="14" t="str">
        <f>IF(AND(C53&lt;&gt;"",N44&lt;&gt;""),(M46/F46*E44+M47/F47*D44)/(C53+Q46),"")</f>
        <v/>
      </c>
      <c r="G53" s="1" t="str">
        <f>IF(C53,IF(AND(F46&lt;&gt;0,C44&lt;&gt;0),M47,M47/F47*D44)/(C53+Q47),"")</f>
        <v/>
      </c>
      <c r="H53" s="1" t="str">
        <f>IF(C53,(M48)/(C53+Q48),"")</f>
        <v/>
      </c>
      <c r="I53" s="1" t="str">
        <f>IF(C53,(M49)/(C53+Q49),"")</f>
        <v/>
      </c>
      <c r="J53" s="1" t="str">
        <f>IF(C53,(M50)/(C53+Q50),"")</f>
        <v/>
      </c>
      <c r="K53" s="14" t="str">
        <f>IF(AND(C53&lt;&gt;"",N44&lt;&gt;""),9.8*N44*LN((C53+Q46)/(C53+R46)),"")</f>
        <v/>
      </c>
      <c r="L53" s="1" t="str">
        <f>IF(C53,9.8*F47*LN((C53+Q47)/(C53+R47)),"")</f>
        <v/>
      </c>
      <c r="M53" s="1" t="str">
        <f>IF(C53,9.8*F48*LN((C53+Q48)/(C53+R48)),"")</f>
        <v/>
      </c>
      <c r="N53" s="1" t="str">
        <f>IF(C53,9.8*F49*LN((C53+Q49)/(C53+R49)),"")</f>
        <v/>
      </c>
      <c r="O53" s="1" t="str">
        <f>IF(C53,9.8*F50*LN((C53+Q50)/(C53+R50)),"")</f>
        <v/>
      </c>
      <c r="P53" s="15" t="str">
        <f>IF(C53,SUM(K53:O53),"")</f>
        <v/>
      </c>
      <c r="Q53" s="1"/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</row>
    <row r="54" spans="1:22">
      <c r="A54" s="40"/>
      <c r="B54" s="27" t="s">
        <v>36</v>
      </c>
      <c r="C54" s="9">
        <v>35</v>
      </c>
      <c r="D54" s="1">
        <f>IF(C54,C54+Q46,"")</f>
        <v>2165</v>
      </c>
      <c r="E54" s="72">
        <f t="shared" si="14"/>
        <v>1.6166281755196306E-2</v>
      </c>
      <c r="F54" s="14" t="str">
        <f>IF(AND(C54&lt;&gt;"",N44&lt;&gt;""),(M46/F46*E44+M47/F47*D44)/(C54+Q46),"")</f>
        <v/>
      </c>
      <c r="G54" s="1">
        <f>IF(C54,IF(AND(F46&lt;&gt;0,C44&lt;&gt;0),M47,M47/F47*D44)/(C54+Q47),"")</f>
        <v>1.2255563102839289</v>
      </c>
      <c r="H54" s="1">
        <f>IF(C54,(M48)/(C54+Q48),"")</f>
        <v>0.79338842975206614</v>
      </c>
      <c r="I54" s="1">
        <f>IF(C54,(M49)/(C54+Q49),"")</f>
        <v>0.73939393939393938</v>
      </c>
      <c r="J54" s="1">
        <f>IF(C54,(M50)/(C54+Q50),"")</f>
        <v>0</v>
      </c>
      <c r="K54" s="14" t="str">
        <f>IF(AND(C54&lt;&gt;"",N44&lt;&gt;""),9.8*N44*LN((C54+Q46)/(C54+R46)),"")</f>
        <v/>
      </c>
      <c r="L54" s="1">
        <f>IF(C54,9.8*F47*LN((C54+Q47)/(C54+R47)),"")</f>
        <v>3937.7800949654934</v>
      </c>
      <c r="M54" s="1">
        <f>IF(C54,9.8*F48*LN((C54+Q48)/(C54+R48)),"")</f>
        <v>4208.3612183135356</v>
      </c>
      <c r="N54" s="1">
        <f>IF(C54,9.8*F49*LN((C54+Q49)/(C54+R49)),"")</f>
        <v>4905.8179724536922</v>
      </c>
      <c r="O54" s="1">
        <f>IF(C54,9.8*F50*LN((C54+Q50)/(C54+R50)),"")</f>
        <v>0</v>
      </c>
      <c r="P54" s="15">
        <f>IF(C54,SUM(K54:O54),"")</f>
        <v>13051.959285732722</v>
      </c>
      <c r="Q54" s="1"/>
      <c r="R54" s="1"/>
      <c r="S54" s="1"/>
      <c r="T54" s="32" t="str">
        <f t="shared" si="15"/>
        <v/>
      </c>
      <c r="U54" s="1"/>
      <c r="V54" s="1"/>
    </row>
    <row r="55" spans="1:22" ht="15" thickBot="1">
      <c r="A55" s="47"/>
      <c r="B55" s="28" t="s">
        <v>5</v>
      </c>
      <c r="C55" s="10"/>
      <c r="D55" s="1" t="str">
        <f>IF(C55,C55+Q46,"")</f>
        <v/>
      </c>
      <c r="E55" s="72" t="str">
        <f t="shared" si="14"/>
        <v/>
      </c>
      <c r="F55" s="14" t="str">
        <f>IF(AND(C55&lt;&gt;"",N44&lt;&gt;""),(M46/F46*E44+M47/F47*D44)/(C55+Q46),"")</f>
        <v/>
      </c>
      <c r="G55" s="1" t="str">
        <f>IF(C55,IF(AND(F46&lt;&gt;0,C44&lt;&gt;0),M47,M47/F47*D44)/(C55+Q47),"")</f>
        <v/>
      </c>
      <c r="H55" s="1" t="str">
        <f>IF(C55,(M48)/(C55+Q48),"")</f>
        <v/>
      </c>
      <c r="I55" s="1" t="str">
        <f>IF(C55,(M49)/(C55+Q49),"")</f>
        <v/>
      </c>
      <c r="J55" s="1" t="str">
        <f>IF(C55,(M50)/(C55+Q50),"")</f>
        <v/>
      </c>
      <c r="K55" s="14" t="str">
        <f>IF(AND(C55&lt;&gt;"",N44&lt;&gt;""),9.8*N44*LN((C55+Q46)/(C55+R46)),"")</f>
        <v/>
      </c>
      <c r="L55" s="1" t="str">
        <f>IF(C55,9.8*F47*LN((C55+Q47)/(C55+R47)),"")</f>
        <v/>
      </c>
      <c r="M55" s="1" t="str">
        <f>IF(C55,9.8*F48*LN((C55+Q48)/(C55+R48)),"")</f>
        <v/>
      </c>
      <c r="N55" s="1" t="str">
        <f>IF(C55,9.8*F49*LN((C55+Q49)/(C55+R49)),"")</f>
        <v/>
      </c>
      <c r="O55" s="1" t="str">
        <f>IF(C55,9.8*F50*LN((C55+Q50)/(C55+R50)),"")</f>
        <v/>
      </c>
      <c r="P55" s="15" t="str">
        <f>IF(C55,SUM(K55:O55),"")</f>
        <v/>
      </c>
      <c r="Q55" s="17"/>
      <c r="R55" s="17"/>
      <c r="S55" s="17"/>
      <c r="T55" s="32" t="str">
        <f t="shared" si="15"/>
        <v/>
      </c>
      <c r="U55" s="1"/>
      <c r="V55" s="1"/>
    </row>
    <row r="56" spans="1:22" ht="15" thickBot="1">
      <c r="A56" s="33" t="s">
        <v>45</v>
      </c>
      <c r="B56" s="26" t="s">
        <v>37</v>
      </c>
      <c r="C56" s="1" t="s">
        <v>54</v>
      </c>
      <c r="D56" s="12" t="s">
        <v>28</v>
      </c>
      <c r="E56" s="12" t="s">
        <v>266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2">
      <c r="A57" s="40"/>
      <c r="B57" s="27" t="s">
        <v>30</v>
      </c>
      <c r="C57" s="8"/>
      <c r="D57" s="1" t="str">
        <f>IF(C57,C57+Q46,"")</f>
        <v/>
      </c>
      <c r="E57" s="72" t="str">
        <f>IF(C57,C57/D57,"")</f>
        <v/>
      </c>
      <c r="F57" s="14" t="str">
        <f>IF(AND(C57&lt;&gt;"",N44&lt;&gt;""),(M46/F46*E44+M47/F47*D44)/(C57+U46),"")</f>
        <v/>
      </c>
      <c r="G57" s="1" t="str">
        <f>IF(C57,IF(AND(F46&lt;&gt;0,C44&lt;&gt;0),M47,M47/F47*D44)/(C57+U47),"")</f>
        <v/>
      </c>
      <c r="H57" s="1" t="str">
        <f>IF(C57,(M48)/(C57+U48),"")</f>
        <v/>
      </c>
      <c r="I57" s="1" t="str">
        <f>IF(C57,(M49)/(C57+U49),"")</f>
        <v/>
      </c>
      <c r="J57" s="1" t="str">
        <f>IF(C57,(M50)/(C57+U50),"")</f>
        <v/>
      </c>
      <c r="K57" s="14" t="str">
        <f>IF(AND(C57&lt;&gt;"",N44&lt;&gt;""),9.8*N44*LN((C57+U46)/(C57+V46)),"")</f>
        <v/>
      </c>
      <c r="L57" s="1" t="str">
        <f>IF(C57,9.8*F47*LN((C57+U47)/(C57+V47)),"")</f>
        <v/>
      </c>
      <c r="M57" s="1" t="str">
        <f>IF(C57,9.8*F48*LN((C57+U48)/(C57+V48)),"")</f>
        <v/>
      </c>
      <c r="N57" s="1" t="str">
        <f>IF(C57,9.8*F49*LN((C57+U49)/(C57+V49)),"")</f>
        <v/>
      </c>
      <c r="O57" s="1" t="str">
        <f>IF(C57,9.8*F50*LN((C57+U50)/(C57+V50)),"")</f>
        <v/>
      </c>
      <c r="P57" s="15" t="str">
        <f>IF(C57,SUM(K57:O57),"")</f>
        <v/>
      </c>
      <c r="Q57" s="1"/>
      <c r="R57" s="1"/>
      <c r="S57" s="1"/>
      <c r="T57" s="32" t="str">
        <f>IF(OR(F57&lt;1,AND(F57="",G57&lt;1)),"起飞推重比不得小于0，空天飞机除外","")</f>
        <v/>
      </c>
      <c r="U57" s="1"/>
      <c r="V57" s="1"/>
    </row>
    <row r="58" spans="1:22">
      <c r="A58" s="47"/>
      <c r="B58" s="27" t="s">
        <v>31</v>
      </c>
      <c r="C58" s="9"/>
      <c r="D58" s="1" t="str">
        <f>IF(C58,C58+Q46,"")</f>
        <v/>
      </c>
      <c r="E58" s="72" t="str">
        <f t="shared" ref="E58:E60" si="16">IF(C58,C58/D58,"")</f>
        <v/>
      </c>
      <c r="F58" s="14" t="str">
        <f>IF(AND(C58&lt;&gt;"",N44&lt;&gt;""),(M46/F46*E44+M47/F47*D44)/(C58+U46),"")</f>
        <v/>
      </c>
      <c r="G58" s="1" t="str">
        <f>IF(C58,IF(AND(F46&lt;&gt;0,C44&lt;&gt;0),M47,M47/F47*D44)/(C58+U47),"")</f>
        <v/>
      </c>
      <c r="H58" s="1" t="str">
        <f>IF(C58,(M48)/(C58+U48),"")</f>
        <v/>
      </c>
      <c r="I58" s="1" t="str">
        <f>IF(C58,(M49)/(C58+U49),"")</f>
        <v/>
      </c>
      <c r="J58" s="1" t="str">
        <f>IF(C58,(M50)/(C58+U50),"")</f>
        <v/>
      </c>
      <c r="K58" s="14" t="str">
        <f>IF(AND(C58&lt;&gt;"",N44&lt;&gt;""),9.8*N44*LN((C58+U46)/(C58+V46)),"")</f>
        <v/>
      </c>
      <c r="L58" s="1" t="str">
        <f>IF(C58,9.8*F47*LN((C58+U47)/(C58+V47)),"")</f>
        <v/>
      </c>
      <c r="M58" s="1" t="str">
        <f>IF(C58,9.8*F48*LN((C58+U48)/(C58+V48)),"")</f>
        <v/>
      </c>
      <c r="N58" s="1" t="str">
        <f>IF(C58,9.8*F49*LN((C58+U49)/(C58+V49)),"")</f>
        <v/>
      </c>
      <c r="O58" s="1" t="str">
        <f>IF(C58,9.8*F50*LN((C58+U50)/(C58+V50)),"")</f>
        <v/>
      </c>
      <c r="P58" s="15" t="str">
        <f>IF(C58,SUM(K58:O58),"")</f>
        <v/>
      </c>
      <c r="Q58" s="1"/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2">
      <c r="A59" s="47"/>
      <c r="B59" s="27" t="s">
        <v>32</v>
      </c>
      <c r="C59" s="9">
        <v>27</v>
      </c>
      <c r="D59" s="1">
        <f>IF(C59,C59+Q46,"")</f>
        <v>2157</v>
      </c>
      <c r="E59" s="72">
        <f t="shared" si="16"/>
        <v>1.2517385257301807E-2</v>
      </c>
      <c r="F59" s="14" t="str">
        <f>IF(AND(C59&lt;&gt;"",N44&lt;&gt;""),(M46/F46*E44+M47/F47*D44)/(C59+U46),"")</f>
        <v/>
      </c>
      <c r="G59" s="1">
        <f>IF(C59,IF(AND(F46&lt;&gt;0,C44&lt;&gt;0),M47,M47/F47*D44)/(C59+U47),"")</f>
        <v>1.2301017207995855</v>
      </c>
      <c r="H59" s="1">
        <f>IF(C59,(M48)/(C59+U48),"")</f>
        <v>0.8040201005025126</v>
      </c>
      <c r="I59" s="1">
        <f>IF(C59,(M49)/(C59+U49),"")</f>
        <v>0.77707006369426757</v>
      </c>
      <c r="J59" s="1">
        <f>IF(C59,(M50)/(C59+U50),"")</f>
        <v>0</v>
      </c>
      <c r="K59" s="14" t="str">
        <f>IF(AND(C59&lt;&gt;"",N44&lt;&gt;""),9.8*N44*LN((C59+U46)/(C59+V46)),"")</f>
        <v/>
      </c>
      <c r="L59" s="1">
        <f>IF(C59,9.8*F47*LN((C59+U47)/(C59+V47)),"")</f>
        <v>3333.0156495813972</v>
      </c>
      <c r="M59" s="1">
        <f>IF(C59,9.8*F48*LN((C59+U48)/(C59+V48)),"")</f>
        <v>4315.433613426675</v>
      </c>
      <c r="N59" s="1">
        <f>IF(C59,9.8*F49*LN((C59+U49)/(C59+V49)),"")</f>
        <v>5394.4037179094857</v>
      </c>
      <c r="O59" s="1">
        <f>IF(C59,9.8*F50*LN((C59+U50)/(C59+V50)),"")</f>
        <v>0</v>
      </c>
      <c r="P59" s="15">
        <f>IF(C59,SUM(K59:O59),"")</f>
        <v>13042.852980917558</v>
      </c>
      <c r="Q59" s="1" t="s">
        <v>536</v>
      </c>
      <c r="R59" s="1"/>
      <c r="S59" s="1"/>
      <c r="T59" s="32" t="str">
        <f t="shared" si="17"/>
        <v/>
      </c>
      <c r="U59" s="1"/>
      <c r="V59" s="1"/>
    </row>
    <row r="60" spans="1:22" ht="15" thickBot="1">
      <c r="A60" s="48" t="s">
        <v>46</v>
      </c>
      <c r="B60" s="49" t="s">
        <v>33</v>
      </c>
      <c r="C60" s="50"/>
      <c r="D60" s="25" t="str">
        <f>IF(C60,C60+Q46,"")</f>
        <v/>
      </c>
      <c r="E60" s="73" t="str">
        <f t="shared" si="16"/>
        <v/>
      </c>
      <c r="F60" s="70" t="str">
        <f>IF(AND(C60&lt;&gt;"",N44&lt;&gt;""),(M46/F46*E44+M47/F47*D44)/(C60+U46),"")</f>
        <v/>
      </c>
      <c r="G60" s="25" t="str">
        <f>IF(C60,IF(AND(F46&lt;&gt;0,C44&lt;&gt;0),M47,M47/F47*D44)/(C60+U47),"")</f>
        <v/>
      </c>
      <c r="H60" s="25" t="str">
        <f>IF(C60,(M48)/(C60+U48),"")</f>
        <v/>
      </c>
      <c r="I60" s="25" t="str">
        <f>IF(C60,(M49)/(C60+U49),"")</f>
        <v/>
      </c>
      <c r="J60" s="25" t="str">
        <f>IF(C60,(M50)/(C60+U50),"")</f>
        <v/>
      </c>
      <c r="K60" s="70" t="str">
        <f>IF(AND(C60&lt;&gt;"",N44&lt;&gt;""),9.8*N44*LN((C60+U46)/(C60+V46)),"")</f>
        <v/>
      </c>
      <c r="L60" s="25" t="str">
        <f>IF(C60,9.8*F47*LN((C60+U47)/(C60+V47)),"")</f>
        <v/>
      </c>
      <c r="M60" s="25" t="str">
        <f>IF(C60,9.8*F48*LN((C60+U48)/(C60+V48)),"")</f>
        <v/>
      </c>
      <c r="N60" s="25" t="str">
        <f>IF(C60,9.8*F49*LN((C60+U49)/(C60+V49)),"")</f>
        <v/>
      </c>
      <c r="O60" s="25" t="str">
        <f>IF(C60,9.8*F50*LN((C60+U50)/(C60+V50)),"")</f>
        <v/>
      </c>
      <c r="P60" s="71" t="str">
        <f>IF(C60,SUM(K60:O60),"")</f>
        <v/>
      </c>
      <c r="Q60" s="25"/>
      <c r="R60" s="25"/>
      <c r="S60" s="25"/>
      <c r="T60" s="51" t="str">
        <f t="shared" si="17"/>
        <v/>
      </c>
      <c r="U60" s="25"/>
      <c r="V60" s="25"/>
    </row>
    <row r="61" spans="1:22" ht="15" thickBot="1"/>
    <row r="62" spans="1:22" ht="15" thickBot="1">
      <c r="A62" s="52" t="s">
        <v>484</v>
      </c>
      <c r="B62" s="52"/>
      <c r="C62" s="29" t="s">
        <v>0</v>
      </c>
      <c r="D62" s="90" t="s">
        <v>41</v>
      </c>
      <c r="E62" s="90"/>
      <c r="F62" s="43"/>
      <c r="G62" s="43"/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2" ht="15" thickBot="1">
      <c r="A63" s="40" t="s">
        <v>485</v>
      </c>
      <c r="B63" s="39"/>
      <c r="C63" s="2">
        <v>3</v>
      </c>
      <c r="D63" s="2">
        <v>302</v>
      </c>
      <c r="E63" s="2">
        <v>302</v>
      </c>
      <c r="F63" s="41"/>
      <c r="G63" s="42"/>
      <c r="H63" s="42"/>
      <c r="I63" s="24" t="s">
        <v>511</v>
      </c>
      <c r="J63" s="24"/>
      <c r="K63" s="24"/>
      <c r="L63" s="55">
        <f>IFERROR(IF(AND(F65&lt;&gt;0,C63&lt;&gt;0),M65/F65*E63+M66/F66*D63,M66/F66*D63),0)</f>
        <v>3570.3905325443784</v>
      </c>
      <c r="M63" s="53" t="s">
        <v>45</v>
      </c>
      <c r="N63" s="17">
        <f>IF(AND(F65&lt;&gt;0,C63&lt;&gt;0),(M65+M66)/(M65/F65+M66/F66),"")</f>
        <v>338</v>
      </c>
      <c r="O63" s="56" t="s">
        <v>46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2" ht="15" thickBot="1">
      <c r="A64" s="33" t="s">
        <v>45</v>
      </c>
      <c r="B64" s="26" t="s">
        <v>39</v>
      </c>
      <c r="C64" s="1" t="s">
        <v>60</v>
      </c>
      <c r="D64" s="1" t="s">
        <v>61</v>
      </c>
      <c r="E64" s="1" t="s">
        <v>62</v>
      </c>
      <c r="F64" s="1" t="s">
        <v>63</v>
      </c>
      <c r="G64" s="1" t="s">
        <v>64</v>
      </c>
      <c r="H64" s="1" t="s">
        <v>65</v>
      </c>
      <c r="I64" s="24" t="s">
        <v>513</v>
      </c>
      <c r="J64" s="24"/>
      <c r="K64" s="24"/>
      <c r="L64" s="11" t="s">
        <v>6</v>
      </c>
      <c r="M64" s="12" t="s">
        <v>69</v>
      </c>
      <c r="N64" s="12" t="s">
        <v>15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16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>
        <v>600</v>
      </c>
      <c r="D65" s="4">
        <v>16</v>
      </c>
      <c r="E65" s="4">
        <v>999</v>
      </c>
      <c r="F65" s="4">
        <v>338</v>
      </c>
      <c r="G65" s="19"/>
      <c r="H65" s="20">
        <v>0.10199999999999999</v>
      </c>
      <c r="I65" s="24" t="s">
        <v>100</v>
      </c>
      <c r="J65" s="24"/>
      <c r="K65" s="24"/>
      <c r="L65" s="14">
        <f>C65*C63</f>
        <v>1800</v>
      </c>
      <c r="M65" s="1">
        <f>E65*C63</f>
        <v>2997</v>
      </c>
      <c r="N65" s="1">
        <f>IF(D65,L65/D65,0)</f>
        <v>112.5</v>
      </c>
      <c r="O65" s="15">
        <f>L65-N65</f>
        <v>1687.5</v>
      </c>
      <c r="P65" s="14">
        <f>IF(AND(F65&lt;&gt;0,C63&lt;&gt;0),O65/M65*F65/IF(G65,G65,1),0)</f>
        <v>190.31531531531533</v>
      </c>
      <c r="Q65" s="1">
        <f>SUM(L65:L69)</f>
        <v>2754</v>
      </c>
      <c r="R65" s="15">
        <f>N65+Q66</f>
        <v>729</v>
      </c>
      <c r="S65" s="14">
        <f>N65+H65*O65</f>
        <v>284.625</v>
      </c>
      <c r="T65" s="1">
        <f>IF(AND(F65&lt;&gt;0,C63&lt;&gt;0),(1-H65)*O65/M65*F65/IF(G65,G65,1),0)</f>
        <v>170.90315315315314</v>
      </c>
      <c r="U65" s="1">
        <f>SUM(L65:L69)</f>
        <v>2754</v>
      </c>
      <c r="V65" s="1">
        <f>S65+U66</f>
        <v>935.55</v>
      </c>
    </row>
    <row r="66" spans="1:22">
      <c r="A66" s="47"/>
      <c r="B66" s="27">
        <v>1</v>
      </c>
      <c r="C66" s="5">
        <v>600</v>
      </c>
      <c r="D66" s="1">
        <v>13</v>
      </c>
      <c r="E66" s="1">
        <v>999</v>
      </c>
      <c r="F66" s="1">
        <v>338</v>
      </c>
      <c r="G66" s="5">
        <v>0.6</v>
      </c>
      <c r="H66" s="21">
        <v>0</v>
      </c>
      <c r="I66" s="30" t="s">
        <v>512</v>
      </c>
      <c r="J66" s="30"/>
      <c r="K66" s="30"/>
      <c r="L66" s="14">
        <f>C66</f>
        <v>600</v>
      </c>
      <c r="M66" s="1">
        <f>E66</f>
        <v>999</v>
      </c>
      <c r="N66" s="1">
        <f>IF(D66,L66/D66,0)</f>
        <v>46.153846153846153</v>
      </c>
      <c r="O66" s="15">
        <f>L66-N66</f>
        <v>553.84615384615381</v>
      </c>
      <c r="P66" s="14">
        <f t="shared" ref="P66:P69" si="18">IF(F66,O66/M66*F66/IF(G66,G66,1),0)</f>
        <v>312.31231231231232</v>
      </c>
      <c r="Q66" s="1">
        <f>IF(F66,SUM(L66:L69)-P65*M66/F66*IF(G66,G66,1),0)</f>
        <v>616.5</v>
      </c>
      <c r="R66" s="15">
        <f>N66+Q67</f>
        <v>400.15384615384613</v>
      </c>
      <c r="S66" s="14">
        <f>N66+H66*O66</f>
        <v>46.153846153846153</v>
      </c>
      <c r="T66" s="1">
        <f>IF(F66,(1-H66)*O66/M66*F66/IF(G66,G66,1),0)</f>
        <v>312.31231231231232</v>
      </c>
      <c r="U66" s="1">
        <f>IF(F66,SUM(L66:L69)-T65*M66/F66*IF(G66,G66,1),0)</f>
        <v>650.92499999999995</v>
      </c>
      <c r="V66" s="1">
        <f>S66+U67</f>
        <v>400.15384615384613</v>
      </c>
    </row>
    <row r="67" spans="1:22">
      <c r="A67" s="47"/>
      <c r="B67" s="27">
        <v>2</v>
      </c>
      <c r="C67" s="5">
        <v>310</v>
      </c>
      <c r="D67" s="1">
        <v>16</v>
      </c>
      <c r="E67" s="1">
        <v>281</v>
      </c>
      <c r="F67" s="1">
        <v>351</v>
      </c>
      <c r="G67" s="5"/>
      <c r="H67" s="21"/>
      <c r="I67" s="30" t="s">
        <v>98</v>
      </c>
      <c r="J67" s="30"/>
      <c r="K67" s="30"/>
      <c r="L67" s="14">
        <f>C67</f>
        <v>310</v>
      </c>
      <c r="M67" s="1">
        <f>E67</f>
        <v>281</v>
      </c>
      <c r="N67" s="1">
        <f>IF(D67,L67/D67,0)</f>
        <v>19.375</v>
      </c>
      <c r="O67" s="15">
        <f>L67-N67</f>
        <v>290.625</v>
      </c>
      <c r="P67" s="14">
        <f t="shared" si="18"/>
        <v>363.02268683274019</v>
      </c>
      <c r="Q67" s="1">
        <f>SUM(L67:L69)</f>
        <v>354</v>
      </c>
      <c r="R67" s="15">
        <f>N67+Q68</f>
        <v>63.375</v>
      </c>
      <c r="S67" s="14">
        <f>N67+H67*O67</f>
        <v>19.375</v>
      </c>
      <c r="T67" s="1">
        <f t="shared" ref="T67:T69" si="19">IF(F67,(1-H67)*O67/M67*F67/IF(G67,G67,1),0)</f>
        <v>363.02268683274019</v>
      </c>
      <c r="U67" s="1">
        <f>SUM(L67:L69)</f>
        <v>354</v>
      </c>
      <c r="V67" s="1">
        <f>S67+U68</f>
        <v>63.375</v>
      </c>
    </row>
    <row r="68" spans="1:22">
      <c r="A68" s="33" t="s">
        <v>45</v>
      </c>
      <c r="B68" s="27">
        <v>3</v>
      </c>
      <c r="C68" s="5">
        <v>44</v>
      </c>
      <c r="D68" s="1">
        <v>6</v>
      </c>
      <c r="E68" s="1">
        <v>27</v>
      </c>
      <c r="F68" s="1">
        <v>452</v>
      </c>
      <c r="G68" s="5"/>
      <c r="H68" s="21"/>
      <c r="I68" s="30" t="s">
        <v>99</v>
      </c>
      <c r="J68" s="30"/>
      <c r="K68" s="30"/>
      <c r="L68" s="14">
        <f>C68</f>
        <v>44</v>
      </c>
      <c r="M68" s="1">
        <f>E68</f>
        <v>27</v>
      </c>
      <c r="N68" s="1">
        <f>IF(D68,L68/D68,0)</f>
        <v>7.333333333333333</v>
      </c>
      <c r="O68" s="15">
        <f>L68-N68</f>
        <v>36.666666666666664</v>
      </c>
      <c r="P68" s="14">
        <f t="shared" si="18"/>
        <v>613.82716049382702</v>
      </c>
      <c r="Q68" s="1">
        <f>SUM(L68:L69)</f>
        <v>44</v>
      </c>
      <c r="R68" s="15">
        <f>N68+Q69</f>
        <v>7.333333333333333</v>
      </c>
      <c r="S68" s="14">
        <f>N68+H68*O68</f>
        <v>7.333333333333333</v>
      </c>
      <c r="T68" s="1">
        <f t="shared" si="19"/>
        <v>613.82716049382702</v>
      </c>
      <c r="U68" s="1">
        <f>SUM(L68:L69)</f>
        <v>44</v>
      </c>
      <c r="V68" s="1">
        <f>S68+U69</f>
        <v>7.333333333333333</v>
      </c>
    </row>
    <row r="69" spans="1:22" ht="15" thickBot="1">
      <c r="A69" s="40"/>
      <c r="B69" s="28">
        <v>4</v>
      </c>
      <c r="C69" s="6"/>
      <c r="D69" s="7"/>
      <c r="E69" s="7"/>
      <c r="F69" s="7"/>
      <c r="G69" s="22"/>
      <c r="H69" s="23"/>
      <c r="I69" s="24"/>
      <c r="J69" s="24"/>
      <c r="K69" s="24"/>
      <c r="L69" s="16">
        <f>C69</f>
        <v>0</v>
      </c>
      <c r="M69" s="17">
        <f>E69</f>
        <v>0</v>
      </c>
      <c r="N69" s="17">
        <f>IF(D69,L69/D69,0)</f>
        <v>0</v>
      </c>
      <c r="O69" s="18">
        <f>L69-N69</f>
        <v>0</v>
      </c>
      <c r="P69" s="14">
        <f t="shared" si="18"/>
        <v>0</v>
      </c>
      <c r="Q69" s="17">
        <f>SUM(L69:L69)</f>
        <v>0</v>
      </c>
      <c r="R69" s="18">
        <f>N69</f>
        <v>0</v>
      </c>
      <c r="S69" s="16">
        <f>N69+H69*O69</f>
        <v>0</v>
      </c>
      <c r="T69" s="17">
        <f t="shared" si="19"/>
        <v>0</v>
      </c>
      <c r="U69" s="17">
        <f>SUM(L69:L69)</f>
        <v>0</v>
      </c>
      <c r="V69" s="17">
        <f>S69</f>
        <v>0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265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264</v>
      </c>
    </row>
    <row r="71" spans="1:22">
      <c r="A71" s="47"/>
      <c r="B71" s="27" t="s">
        <v>30</v>
      </c>
      <c r="C71" s="8">
        <v>103</v>
      </c>
      <c r="D71" s="1">
        <f>IF(C71,C71+Q65,"")</f>
        <v>2857</v>
      </c>
      <c r="E71" s="72">
        <f>IF(C71,C71/D71,"")</f>
        <v>3.6051802590129509E-2</v>
      </c>
      <c r="F71" s="14">
        <f>IF(AND(C71&lt;&gt;"",N63&lt;&gt;""),(M65/F65*E63+M66/F66*D63)/(C71+Q65),"")</f>
        <v>1.2496991713490999</v>
      </c>
      <c r="G71" s="1">
        <f>IF(C71,IF(AND(F65&lt;&gt;0,C63&lt;&gt;0),M66,M66/F66*D63)/(C71+Q66),"")</f>
        <v>1.3884642112578178</v>
      </c>
      <c r="H71" s="1">
        <f>IF(C71,(M67)/(C71+Q67),"")</f>
        <v>0.61487964989059085</v>
      </c>
      <c r="I71" s="1">
        <f>IF(C71,(M68)/(C71+Q68),"")</f>
        <v>0.18367346938775511</v>
      </c>
      <c r="J71" s="1">
        <f>IF(C71,(M69)/(C71+Q69),"")</f>
        <v>0</v>
      </c>
      <c r="K71" s="14">
        <f>IF(AND(C71&lt;&gt;"",N63&lt;&gt;""),9.8*N63*LN((C71+Q65)/(C71+R65)),"")</f>
        <v>4086.4911901730416</v>
      </c>
      <c r="L71" s="1">
        <f>IF(C71,9.8*F66*LN((C71+Q66)/(C71+R66)),"")</f>
        <v>1184.7147919998276</v>
      </c>
      <c r="M71" s="1">
        <f>IF(C71,9.8*F67*LN((C71+Q67)/(C71+R67)),"")</f>
        <v>3475.7084649526805</v>
      </c>
      <c r="N71" s="1">
        <f>IF(C71,9.8*F68*LN((C71+Q68)/(C71+R68)),"")</f>
        <v>1270.9696247091117</v>
      </c>
      <c r="O71" s="1">
        <f>IF(C71,9.8*F69*LN((C71+Q69)/(C71+R69)),"")</f>
        <v>0</v>
      </c>
      <c r="P71" s="15">
        <f>IF(C71,SUM(K71:O71),"")</f>
        <v>10017.884071834662</v>
      </c>
      <c r="Q71" s="1"/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47</v>
      </c>
      <c r="B72" s="27" t="s">
        <v>31</v>
      </c>
      <c r="C72" s="9">
        <v>50</v>
      </c>
      <c r="D72" s="1">
        <f>IF(C72,C72+Q65,"")</f>
        <v>2804</v>
      </c>
      <c r="E72" s="72">
        <f t="shared" ref="E72:E74" si="20">IF(C72,C72/D72,"")</f>
        <v>1.783166904422254E-2</v>
      </c>
      <c r="F72" s="14">
        <f>IF(AND(C72&lt;&gt;"",N63&lt;&gt;""),(M65/F65*E63+M66/F66*D63)/(C72+Q65),"")</f>
        <v>1.2733204466991364</v>
      </c>
      <c r="G72" s="1">
        <f>IF(C72,IF(AND(F65&lt;&gt;0,C63&lt;&gt;0),M66,M66/F66*D63)/(C72+Q66),"")</f>
        <v>1.4988747186796698</v>
      </c>
      <c r="H72" s="1">
        <f>IF(C72,(M67)/(C72+Q67),"")</f>
        <v>0.6955445544554455</v>
      </c>
      <c r="I72" s="1">
        <f>IF(C72,(M68)/(C72+Q68),"")</f>
        <v>0.28723404255319152</v>
      </c>
      <c r="J72" s="1">
        <f>IF(C72,(M69)/(C72+Q69),"")</f>
        <v>0</v>
      </c>
      <c r="K72" s="14">
        <f>IF(AND(C72&lt;&gt;"",N63&lt;&gt;""),9.8*N63*LN((C72+Q65)/(C72+R65)),"")</f>
        <v>4242.4927784446354</v>
      </c>
      <c r="L72" s="1">
        <f>IF(C72,9.8*F66*LN((C72+Q66)/(C72+R66)),"")</f>
        <v>1299.9538144162009</v>
      </c>
      <c r="M72" s="1">
        <f>IF(C72,9.8*F67*LN((C72+Q67)/(C72+R67)),"")</f>
        <v>4371.0019123750171</v>
      </c>
      <c r="N72" s="1">
        <f>IF(C72,9.8*F68*LN((C72+Q68)/(C72+R68)),"")</f>
        <v>2190.0500269345966</v>
      </c>
      <c r="O72" s="1">
        <f>IF(C72,9.8*F69*LN((C72+Q69)/(C72+R69)),"")</f>
        <v>0</v>
      </c>
      <c r="P72" s="15">
        <f>IF(C72,SUM(K72:O72),"")</f>
        <v>12103.498532170452</v>
      </c>
      <c r="Q72" s="1"/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36</v>
      </c>
      <c r="C73" s="9">
        <v>36</v>
      </c>
      <c r="D73" s="1">
        <f>IF(C73,C73+Q65,"")</f>
        <v>2790</v>
      </c>
      <c r="E73" s="72">
        <f t="shared" si="20"/>
        <v>1.2903225806451613E-2</v>
      </c>
      <c r="F73" s="14">
        <f>IF(AND(C73&lt;&gt;"",N63&lt;&gt;""),(M65/F65*E63+M66/F66*D63)/(C73+Q65),"")</f>
        <v>1.2797098682954762</v>
      </c>
      <c r="G73" s="1">
        <f>IF(C73,IF(AND(F65&lt;&gt;0,C63&lt;&gt;0),M66,M66/F66*D63)/(C73+Q66),"")</f>
        <v>1.5310344827586206</v>
      </c>
      <c r="H73" s="1">
        <f>IF(C73,(M67)/(C73+Q67),"")</f>
        <v>0.72051282051282051</v>
      </c>
      <c r="I73" s="1">
        <f>IF(C73,(M68)/(C73+Q68),"")</f>
        <v>0.33750000000000002</v>
      </c>
      <c r="J73" s="1">
        <f>IF(C73,(M69)/(C73+Q69),"")</f>
        <v>0</v>
      </c>
      <c r="K73" s="14">
        <f>IF(AND(C73&lt;&gt;"",N63&lt;&gt;""),9.8*N63*LN((C73+Q65)/(C73+R65)),"")</f>
        <v>4285.9840561715509</v>
      </c>
      <c r="L73" s="1">
        <f>IF(C73,9.8*F66*LN((C73+Q66)/(C73+R66)),"")</f>
        <v>1334.2880494299523</v>
      </c>
      <c r="M73" s="1">
        <f>IF(C73,9.8*F67*LN((C73+Q67)/(C73+R67)),"")</f>
        <v>4703.0533623200054</v>
      </c>
      <c r="N73" s="1">
        <f>IF(C73,9.8*F68*LN((C73+Q68)/(C73+R68)),"")</f>
        <v>2715.8075730976366</v>
      </c>
      <c r="O73" s="1">
        <f>IF(C73,9.8*F69*LN((C73+Q69)/(C73+R69)),"")</f>
        <v>0</v>
      </c>
      <c r="P73" s="15">
        <f>IF(C73,SUM(K73:O73),"")</f>
        <v>13039.133041019146</v>
      </c>
      <c r="Q73" s="1"/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/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54</v>
      </c>
      <c r="D75" s="12" t="s">
        <v>28</v>
      </c>
      <c r="E75" s="12" t="s">
        <v>266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>
        <v>84</v>
      </c>
      <c r="D76" s="1">
        <f>IF(C76,C76+Q65,"")</f>
        <v>2838</v>
      </c>
      <c r="E76" s="72">
        <f>IF(C76,C76/D76,"")</f>
        <v>2.9598308668076109E-2</v>
      </c>
      <c r="F76" s="14">
        <f>IF(AND(C76&lt;&gt;"",N63&lt;&gt;""),(M65/F65*E63+M66/F66*D63)/(C76+U65),"")</f>
        <v>1.2580657267598232</v>
      </c>
      <c r="G76" s="1">
        <f>IF(C76,IF(AND(F65&lt;&gt;0,C63&lt;&gt;0),M66,M66/F66*D63)/(C76+U66),"")</f>
        <v>1.3593223798346772</v>
      </c>
      <c r="H76" s="1">
        <f>IF(C76,(M67)/(C76+U67),"")</f>
        <v>0.64155251141552516</v>
      </c>
      <c r="I76" s="1">
        <f>IF(C76,(M68)/(C76+U68),"")</f>
        <v>0.2109375</v>
      </c>
      <c r="J76" s="1">
        <f>IF(C76,(M69)/(C76+U69),"")</f>
        <v>0</v>
      </c>
      <c r="K76" s="14">
        <f>IF(AND(C76&lt;&gt;"",N63&lt;&gt;""),9.8*N63*LN((C76+U65)/(C76+V65)),"")</f>
        <v>3391.0304973486773</v>
      </c>
      <c r="L76" s="1">
        <f>IF(C76,9.8*F66*LN((C76+U66)/(C76+V66)),"")</f>
        <v>1382.4822540792188</v>
      </c>
      <c r="M76" s="1">
        <f>IF(C76,9.8*F67*LN((C76+U67)/(C76+V67)),"")</f>
        <v>3746.7627695147507</v>
      </c>
      <c r="N76" s="1">
        <f>IF(C76,9.8*F68*LN((C76+U68)/(C76+V68)),"")</f>
        <v>1495.0539908859994</v>
      </c>
      <c r="O76" s="1">
        <f>IF(C76,9.8*F69*LN((C76+U69)/(C76+V69)),"")</f>
        <v>0</v>
      </c>
      <c r="P76" s="15">
        <f>IF(C76,SUM(K76:O76),"")</f>
        <v>10015.329511828646</v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>
        <v>40</v>
      </c>
      <c r="D77" s="1">
        <f>IF(C77,C77+Q65,"")</f>
        <v>2794</v>
      </c>
      <c r="E77" s="72">
        <f t="shared" ref="E77:E79" si="22">IF(C77,C77/D77,"")</f>
        <v>1.4316392269148175E-2</v>
      </c>
      <c r="F77" s="14">
        <f>IF(AND(C77&lt;&gt;"",N63&lt;&gt;""),(M65/F65*E63+M66/F66*D63)/(C77+U65),"")</f>
        <v>1.2778777854489543</v>
      </c>
      <c r="G77" s="1">
        <f>IF(C77,IF(AND(F65&lt;&gt;0,C63&lt;&gt;0),M66,M66/F66*D63)/(C77+U66),"")</f>
        <v>1.4458877591634405</v>
      </c>
      <c r="H77" s="1">
        <f>IF(C77,(M67)/(C77+U67),"")</f>
        <v>0.71319796954314718</v>
      </c>
      <c r="I77" s="1">
        <f>IF(C77,(M68)/(C77+U68),"")</f>
        <v>0.32142857142857145</v>
      </c>
      <c r="J77" s="1">
        <f>IF(C77,(M69)/(C77+U69),"")</f>
        <v>0</v>
      </c>
      <c r="K77" s="14">
        <f>IF(AND(C77&lt;&gt;"",N63&lt;&gt;""),9.8*N63*LN((C77+U65)/(C77+V65)),"")</f>
        <v>3485.4004422470307</v>
      </c>
      <c r="L77" s="1">
        <f>IF(C77,9.8*F66*LN((C77+U66)/(C77+V66)),"")</f>
        <v>1493.5842254940192</v>
      </c>
      <c r="M77" s="1">
        <f>IF(C77,9.8*F67*LN((C77+U67)/(C77+V67)),"")</f>
        <v>4602.4102829308395</v>
      </c>
      <c r="N77" s="1">
        <f>IF(C77,9.8*F68*LN((C77+U68)/(C77+V68)),"")</f>
        <v>2540.8275516900562</v>
      </c>
      <c r="O77" s="1">
        <f>IF(C77,9.8*F69*LN((C77+U69)/(C77+V69)),"")</f>
        <v>0</v>
      </c>
      <c r="P77" s="15">
        <f>IF(C77,SUM(K77:O77),"")</f>
        <v>12122.222502361945</v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>
        <v>29</v>
      </c>
      <c r="D78" s="1">
        <f>IF(C78,C78+Q65,"")</f>
        <v>2783</v>
      </c>
      <c r="E78" s="72">
        <f t="shared" si="22"/>
        <v>1.0420409629895796E-2</v>
      </c>
      <c r="F78" s="14">
        <f>IF(AND(C78&lt;&gt;"",N63&lt;&gt;""),(M65/F65*E63+M66/F66*D63)/(C78+U65),"")</f>
        <v>1.2829286857866973</v>
      </c>
      <c r="G78" s="1">
        <f>IF(C78,IF(AND(F65&lt;&gt;0,C63&lt;&gt;0),M66,M66/F66*D63)/(C78+U66),"")</f>
        <v>1.4692796999669082</v>
      </c>
      <c r="H78" s="1">
        <f>IF(C78,(M67)/(C78+U67),"")</f>
        <v>0.73368146214099217</v>
      </c>
      <c r="I78" s="1">
        <f>IF(C78,(M68)/(C78+U68),"")</f>
        <v>0.36986301369863012</v>
      </c>
      <c r="J78" s="1">
        <f>IF(C78,(M69)/(C78+U69),"")</f>
        <v>0</v>
      </c>
      <c r="K78" s="14">
        <f>IF(AND(C78&lt;&gt;"",N63&lt;&gt;""),9.8*N63*LN((C78+U65)/(C78+V65)),"")</f>
        <v>3509.895523951956</v>
      </c>
      <c r="L78" s="1">
        <f>IF(C78,9.8*F66*LN((C78+U66)/(C78+V66)),"")</f>
        <v>1524.257262174774</v>
      </c>
      <c r="M78" s="1">
        <f>IF(C78,9.8*F67*LN((C78+U67)/(C78+V67)),"")</f>
        <v>4892.0099823762612</v>
      </c>
      <c r="N78" s="1">
        <f>IF(C78,9.8*F68*LN((C78+U68)/(C78+V68)),"")</f>
        <v>3090.6375552729564</v>
      </c>
      <c r="O78" s="1">
        <f>IF(C78,9.8*F69*LN((C78+U69)/(C78+V69)),"")</f>
        <v>0</v>
      </c>
      <c r="P78" s="15">
        <f>IF(C78,SUM(K78:O78),"")</f>
        <v>13016.800323775948</v>
      </c>
      <c r="Q78" s="1" t="s">
        <v>538</v>
      </c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46</v>
      </c>
      <c r="B79" s="49" t="s">
        <v>33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486</v>
      </c>
      <c r="B81" s="52"/>
      <c r="C81" s="29" t="s">
        <v>0</v>
      </c>
      <c r="D81" s="90" t="s">
        <v>41</v>
      </c>
      <c r="E81" s="90"/>
      <c r="F81" s="43"/>
      <c r="G81" s="43"/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487</v>
      </c>
      <c r="B82" s="39"/>
      <c r="C82" s="2">
        <v>3</v>
      </c>
      <c r="D82" s="2">
        <v>302</v>
      </c>
      <c r="E82" s="2">
        <v>302</v>
      </c>
      <c r="F82" s="41"/>
      <c r="G82" s="42"/>
      <c r="H82" s="42"/>
      <c r="I82" s="24" t="s">
        <v>539</v>
      </c>
      <c r="J82" s="24"/>
      <c r="K82" s="24"/>
      <c r="L82" s="55">
        <f>IFERROR(IF(AND(F84&lt;&gt;0,C82&lt;&gt;0),M84/F84*E82+M85/F85*D82,M85/F85*D82),0)</f>
        <v>3570.3905325443784</v>
      </c>
      <c r="M82" s="53" t="s">
        <v>45</v>
      </c>
      <c r="N82" s="17">
        <f>IF(AND(F84&lt;&gt;0,C82&lt;&gt;0),(M84+M85)/(M84/F84+M85/F85),"")</f>
        <v>338</v>
      </c>
      <c r="O82" s="56" t="s">
        <v>46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60</v>
      </c>
      <c r="D83" s="1" t="s">
        <v>61</v>
      </c>
      <c r="E83" s="1" t="s">
        <v>62</v>
      </c>
      <c r="F83" s="1" t="s">
        <v>63</v>
      </c>
      <c r="G83" s="1" t="s">
        <v>64</v>
      </c>
      <c r="H83" s="1" t="s">
        <v>65</v>
      </c>
      <c r="I83" s="24"/>
      <c r="J83" s="24"/>
      <c r="K83" s="24"/>
      <c r="L83" s="11" t="s">
        <v>6</v>
      </c>
      <c r="M83" s="12" t="s">
        <v>69</v>
      </c>
      <c r="N83" s="12" t="s">
        <v>15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16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>
        <v>600</v>
      </c>
      <c r="D84" s="4">
        <v>16</v>
      </c>
      <c r="E84" s="4">
        <v>999</v>
      </c>
      <c r="F84" s="4">
        <v>338</v>
      </c>
      <c r="G84" s="19"/>
      <c r="H84" s="20">
        <v>0.10199999999999999</v>
      </c>
      <c r="I84" s="24" t="s">
        <v>100</v>
      </c>
      <c r="J84" s="24"/>
      <c r="K84" s="24"/>
      <c r="L84" s="14">
        <f>C84*C82</f>
        <v>1800</v>
      </c>
      <c r="M84" s="1">
        <f>E84*C82</f>
        <v>2997</v>
      </c>
      <c r="N84" s="1">
        <f>IF(D84,L84/D84,0)</f>
        <v>112.5</v>
      </c>
      <c r="O84" s="15">
        <f>L84-N84</f>
        <v>1687.5</v>
      </c>
      <c r="P84" s="14">
        <f>IF(AND(F84&lt;&gt;0,C82&lt;&gt;0),O84/M84*F84/IF(G84,G84,1),0)</f>
        <v>190.31531531531533</v>
      </c>
      <c r="Q84" s="1">
        <f>SUM(L84:L88)</f>
        <v>2710</v>
      </c>
      <c r="R84" s="15">
        <f>N84+Q85</f>
        <v>685</v>
      </c>
      <c r="S84" s="14">
        <f>N84+H84*O84</f>
        <v>284.625</v>
      </c>
      <c r="T84" s="1">
        <f>IF(AND(F84&lt;&gt;0,C82&lt;&gt;0),(1-H84)*O84/M84*F84/IF(G84,G84,1),0)</f>
        <v>170.90315315315314</v>
      </c>
      <c r="U84" s="1">
        <f>SUM(L84:L88)</f>
        <v>2710</v>
      </c>
      <c r="V84" s="1">
        <f>S84+U85</f>
        <v>891.55</v>
      </c>
    </row>
    <row r="85" spans="1:22">
      <c r="A85" s="47"/>
      <c r="B85" s="27">
        <v>1</v>
      </c>
      <c r="C85" s="5">
        <v>600</v>
      </c>
      <c r="D85" s="1">
        <v>13</v>
      </c>
      <c r="E85" s="1">
        <v>999</v>
      </c>
      <c r="F85" s="1">
        <v>338</v>
      </c>
      <c r="G85" s="5">
        <v>0.6</v>
      </c>
      <c r="H85" s="21">
        <v>0</v>
      </c>
      <c r="I85" s="30" t="s">
        <v>100</v>
      </c>
      <c r="J85" s="30"/>
      <c r="K85" s="30"/>
      <c r="L85" s="14">
        <f>C85</f>
        <v>600</v>
      </c>
      <c r="M85" s="1">
        <f>E85</f>
        <v>999</v>
      </c>
      <c r="N85" s="1">
        <f>IF(D85,L85/D85,0)</f>
        <v>46.153846153846153</v>
      </c>
      <c r="O85" s="15">
        <f>L85-N85</f>
        <v>553.84615384615381</v>
      </c>
      <c r="P85" s="14">
        <f t="shared" ref="P85:P88" si="24">IF(F85,O85/M85*F85/IF(G85,G85,1),0)</f>
        <v>312.31231231231232</v>
      </c>
      <c r="Q85" s="1">
        <f>IF(F85,SUM(L85:L88)-P84*M85/F85*IF(G85,G85,1),0)</f>
        <v>572.5</v>
      </c>
      <c r="R85" s="15">
        <f>N85+Q86</f>
        <v>356.15384615384613</v>
      </c>
      <c r="S85" s="14">
        <f>N85+H85*O85</f>
        <v>46.153846153846153</v>
      </c>
      <c r="T85" s="1">
        <f>IF(F85,(1-H85)*O85/M85*F85/IF(G85,G85,1),0)</f>
        <v>312.31231231231232</v>
      </c>
      <c r="U85" s="1">
        <f>IF(F85,SUM(L85:L88)-T84*M85/F85*IF(G85,G85,1),0)</f>
        <v>606.92499999999995</v>
      </c>
      <c r="V85" s="1">
        <f>S85+U86</f>
        <v>356.15384615384613</v>
      </c>
    </row>
    <row r="86" spans="1:22">
      <c r="A86" s="47"/>
      <c r="B86" s="27">
        <v>2</v>
      </c>
      <c r="C86" s="5">
        <v>310</v>
      </c>
      <c r="D86" s="1">
        <v>16</v>
      </c>
      <c r="E86" s="1">
        <v>281</v>
      </c>
      <c r="F86" s="1">
        <v>351</v>
      </c>
      <c r="G86" s="5"/>
      <c r="H86" s="21"/>
      <c r="I86" s="30" t="s">
        <v>101</v>
      </c>
      <c r="J86" s="30"/>
      <c r="K86" s="30"/>
      <c r="L86" s="14">
        <f>C86</f>
        <v>310</v>
      </c>
      <c r="M86" s="1">
        <f>E86</f>
        <v>281</v>
      </c>
      <c r="N86" s="1">
        <f>IF(D86,L86/D86,0)</f>
        <v>19.375</v>
      </c>
      <c r="O86" s="15">
        <f>L86-N86</f>
        <v>290.625</v>
      </c>
      <c r="P86" s="14">
        <f t="shared" si="24"/>
        <v>363.02268683274019</v>
      </c>
      <c r="Q86" s="1">
        <f>SUM(L86:L88)</f>
        <v>310</v>
      </c>
      <c r="R86" s="15">
        <f>N86+Q87</f>
        <v>19.375</v>
      </c>
      <c r="S86" s="14">
        <f>N86+H86*O86</f>
        <v>19.375</v>
      </c>
      <c r="T86" s="1">
        <f t="shared" ref="T86:T88" si="25">IF(F86,(1-H86)*O86/M86*F86/IF(G86,G86,1),0)</f>
        <v>363.02268683274019</v>
      </c>
      <c r="U86" s="1">
        <f>SUM(L86:L88)</f>
        <v>310</v>
      </c>
      <c r="V86" s="1">
        <f>S86+U87</f>
        <v>19.375</v>
      </c>
    </row>
    <row r="87" spans="1:22">
      <c r="A87" s="33" t="s">
        <v>45</v>
      </c>
      <c r="B87" s="27">
        <v>3</v>
      </c>
      <c r="C87" s="5"/>
      <c r="D87" s="1"/>
      <c r="E87" s="1"/>
      <c r="F87" s="1"/>
      <c r="G87" s="5"/>
      <c r="H87" s="21"/>
      <c r="I87" s="30"/>
      <c r="J87" s="30"/>
      <c r="K87" s="30"/>
      <c r="L87" s="14">
        <f>C87</f>
        <v>0</v>
      </c>
      <c r="M87" s="1">
        <f>E87</f>
        <v>0</v>
      </c>
      <c r="N87" s="1">
        <f>IF(D87,L87/D87,0)</f>
        <v>0</v>
      </c>
      <c r="O87" s="15">
        <f>L87-N87</f>
        <v>0</v>
      </c>
      <c r="P87" s="14">
        <f t="shared" si="24"/>
        <v>0</v>
      </c>
      <c r="Q87" s="1">
        <f>SUM(L87:L88)</f>
        <v>0</v>
      </c>
      <c r="R87" s="15">
        <f>N87+Q88</f>
        <v>0</v>
      </c>
      <c r="S87" s="14">
        <f>N87+H87*O87</f>
        <v>0</v>
      </c>
      <c r="T87" s="1">
        <f t="shared" si="25"/>
        <v>0</v>
      </c>
      <c r="U87" s="1">
        <f>SUM(L87:L88)</f>
        <v>0</v>
      </c>
      <c r="V87" s="1">
        <f>S87+U88</f>
        <v>0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265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85" t="s">
        <v>42</v>
      </c>
      <c r="R89" s="85"/>
      <c r="S89" s="85"/>
      <c r="T89" s="31" t="s">
        <v>50</v>
      </c>
      <c r="U89" s="35" t="s">
        <v>47</v>
      </c>
      <c r="V89" s="36" t="s">
        <v>264</v>
      </c>
    </row>
    <row r="90" spans="1:22">
      <c r="A90" s="47"/>
      <c r="B90" s="27" t="s">
        <v>30</v>
      </c>
      <c r="C90" s="8">
        <v>90</v>
      </c>
      <c r="D90" s="1">
        <f>IF(C90,C90+Q84,"")</f>
        <v>2800</v>
      </c>
      <c r="E90" s="72">
        <f>IF(C90,C90/D90,"")</f>
        <v>3.214285714285714E-2</v>
      </c>
      <c r="F90" s="14">
        <f>IF(AND(C90&lt;&gt;"",N82&lt;&gt;""),(M84/F84*E82+M85/F85*D82)/(C90+Q84),"")</f>
        <v>1.2751394759087065</v>
      </c>
      <c r="G90" s="1">
        <f>IF(C90,IF(AND(F84&lt;&gt;0,C82&lt;&gt;0),M85,M85/F85*D82)/(C90+Q85),"")</f>
        <v>1.5079245283018867</v>
      </c>
      <c r="H90" s="1">
        <f>IF(C90,(M86)/(C90+Q86),"")</f>
        <v>0.70250000000000001</v>
      </c>
      <c r="I90" s="1">
        <f>IF(C90,(M87)/(C90+Q87),"")</f>
        <v>0</v>
      </c>
      <c r="J90" s="1">
        <f>IF(C90,(M88)/(C90+Q88),"")</f>
        <v>0</v>
      </c>
      <c r="K90" s="14">
        <f>IF(AND(C90&lt;&gt;"",N82&lt;&gt;""),9.8*N82*LN((C90+Q84)/(C90+R84)),"")</f>
        <v>4254.8164451412731</v>
      </c>
      <c r="L90" s="1">
        <f>IF(C90,9.8*F85*LN((C90+Q85)/(C90+R85)),"")</f>
        <v>1309.579595311395</v>
      </c>
      <c r="M90" s="1">
        <f>IF(C90,9.8*F86*LN((C90+Q86)/(C90+R86)),"")</f>
        <v>4460.3274399194142</v>
      </c>
      <c r="N90" s="1">
        <f>IF(C90,9.8*F87*LN((C90+Q87)/(C90+R87)),"")</f>
        <v>0</v>
      </c>
      <c r="O90" s="1">
        <f>IF(C90,9.8*F88*LN((C90+Q88)/(C90+R88)),"")</f>
        <v>0</v>
      </c>
      <c r="P90" s="15">
        <f>IF(C90,SUM(K90:O90),"")</f>
        <v>10024.723480372082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47</v>
      </c>
      <c r="B91" s="27" t="s">
        <v>31</v>
      </c>
      <c r="C91" s="9"/>
      <c r="D91" s="1" t="str">
        <f>IF(C91,C91+Q84,"")</f>
        <v/>
      </c>
      <c r="E91" s="72" t="str">
        <f t="shared" ref="E91:E93" si="26">IF(C91,C91/D91,"")</f>
        <v/>
      </c>
      <c r="F91" s="14" t="str">
        <f>IF(AND(C91&lt;&gt;"",N82&lt;&gt;""),(M84/F84*E82+M85/F85*D82)/(C91+Q84),"")</f>
        <v/>
      </c>
      <c r="G91" s="1" t="str">
        <f>IF(C91,IF(AND(F84&lt;&gt;0,C82&lt;&gt;0),M85,M85/F85*D82)/(C91+Q85),"")</f>
        <v/>
      </c>
      <c r="H91" s="1" t="str">
        <f>IF(C91,(M86)/(C91+Q86),"")</f>
        <v/>
      </c>
      <c r="I91" s="1" t="str">
        <f>IF(C91,(M87)/(C91+Q87),"")</f>
        <v/>
      </c>
      <c r="J91" s="1" t="str">
        <f>IF(C91,(M88)/(C91+Q88),"")</f>
        <v/>
      </c>
      <c r="K91" s="14" t="str">
        <f>IF(AND(C91&lt;&gt;"",N82&lt;&gt;""),9.8*N82*LN((C91+Q84)/(C91+R84)),"")</f>
        <v/>
      </c>
      <c r="L91" s="1" t="str">
        <f>IF(C91,9.8*F85*LN((C91+Q85)/(C91+R85)),"")</f>
        <v/>
      </c>
      <c r="M91" s="1" t="str">
        <f>IF(C91,9.8*F86*LN((C91+Q86)/(C91+R86)),"")</f>
        <v/>
      </c>
      <c r="N91" s="1" t="str">
        <f>IF(C91,9.8*F87*LN((C91+Q87)/(C91+R87)),"")</f>
        <v/>
      </c>
      <c r="O91" s="1" t="str">
        <f>IF(C91,9.8*F88*LN((C91+Q88)/(C91+R88)),"")</f>
        <v/>
      </c>
      <c r="P91" s="15" t="str">
        <f>IF(C91,SUM(K91:O91),"")</f>
        <v/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36</v>
      </c>
      <c r="C92" s="9"/>
      <c r="D92" s="1" t="str">
        <f>IF(C92,C92+Q84,"")</f>
        <v/>
      </c>
      <c r="E92" s="72" t="str">
        <f t="shared" si="26"/>
        <v/>
      </c>
      <c r="F92" s="14" t="str">
        <f>IF(AND(C92&lt;&gt;"",N82&lt;&gt;""),(M84/F84*E82+M85/F85*D82)/(C92+Q84),"")</f>
        <v/>
      </c>
      <c r="G92" s="1" t="str">
        <f>IF(C92,IF(AND(F84&lt;&gt;0,C82&lt;&gt;0),M85,M85/F85*D82)/(C92+Q85),"")</f>
        <v/>
      </c>
      <c r="H92" s="1" t="str">
        <f>IF(C92,(M86)/(C92+Q86),"")</f>
        <v/>
      </c>
      <c r="I92" s="1" t="str">
        <f>IF(C92,(M87)/(C92+Q87),"")</f>
        <v/>
      </c>
      <c r="J92" s="1" t="str">
        <f>IF(C92,(M88)/(C92+Q88),"")</f>
        <v/>
      </c>
      <c r="K92" s="14" t="str">
        <f>IF(AND(C92&lt;&gt;"",N82&lt;&gt;""),9.8*N82*LN((C92+Q84)/(C92+R84)),"")</f>
        <v/>
      </c>
      <c r="L92" s="1" t="str">
        <f>IF(C92,9.8*F85*LN((C92+Q85)/(C92+R85)),"")</f>
        <v/>
      </c>
      <c r="M92" s="1" t="str">
        <f>IF(C92,9.8*F86*LN((C92+Q86)/(C92+R86)),"")</f>
        <v/>
      </c>
      <c r="N92" s="1" t="str">
        <f>IF(C92,9.8*F87*LN((C92+Q87)/(C92+R87)),"")</f>
        <v/>
      </c>
      <c r="O92" s="1" t="str">
        <f>IF(C92,9.8*F88*LN((C92+Q88)/(C92+R88)),"")</f>
        <v/>
      </c>
      <c r="P92" s="15" t="str">
        <f>IF(C92,SUM(K92:O92),"")</f>
        <v/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/>
      <c r="D93" s="1" t="str">
        <f>IF(C93,C93+Q84,"")</f>
        <v/>
      </c>
      <c r="E93" s="72" t="str">
        <f t="shared" si="26"/>
        <v/>
      </c>
      <c r="F93" s="14" t="str">
        <f>IF(AND(C93&lt;&gt;"",N82&lt;&gt;""),(M84/F84*E82+M85/F85*D82)/(C93+Q84),"")</f>
        <v/>
      </c>
      <c r="G93" s="1" t="str">
        <f>IF(C93,IF(AND(F84&lt;&gt;0,C82&lt;&gt;0),M85,M85/F85*D82)/(C93+Q85),"")</f>
        <v/>
      </c>
      <c r="H93" s="1" t="str">
        <f>IF(C93,(M86)/(C93+Q86),"")</f>
        <v/>
      </c>
      <c r="I93" s="1" t="str">
        <f>IF(C93,(M87)/(C93+Q87),"")</f>
        <v/>
      </c>
      <c r="J93" s="1" t="str">
        <f>IF(C93,(M88)/(C93+Q88),"")</f>
        <v/>
      </c>
      <c r="K93" s="14" t="str">
        <f>IF(AND(C93&lt;&gt;"",N82&lt;&gt;""),9.8*N82*LN((C93+Q84)/(C93+R84)),"")</f>
        <v/>
      </c>
      <c r="L93" s="1" t="str">
        <f>IF(C93,9.8*F85*LN((C93+Q85)/(C93+R85)),"")</f>
        <v/>
      </c>
      <c r="M93" s="1" t="str">
        <f>IF(C93,9.8*F86*LN((C93+Q86)/(C93+R86)),"")</f>
        <v/>
      </c>
      <c r="N93" s="1" t="str">
        <f>IF(C93,9.8*F87*LN((C93+Q87)/(C93+R87)),"")</f>
        <v/>
      </c>
      <c r="O93" s="1" t="str">
        <f>IF(C93,9.8*F88*LN((C93+Q88)/(C93+R88)),"")</f>
        <v/>
      </c>
      <c r="P93" s="15" t="str">
        <f>IF(C93,SUM(K93:O93),"")</f>
        <v/>
      </c>
      <c r="Q93" s="17"/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54</v>
      </c>
      <c r="D94" s="12" t="s">
        <v>28</v>
      </c>
      <c r="E94" s="12" t="s">
        <v>266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85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>
        <v>70</v>
      </c>
      <c r="D95" s="1">
        <f>IF(C95,C95+Q84,"")</f>
        <v>2780</v>
      </c>
      <c r="E95" s="72">
        <f>IF(C95,C95/D95,"")</f>
        <v>2.5179856115107913E-2</v>
      </c>
      <c r="F95" s="14">
        <f>IF(AND(C95&lt;&gt;"",N82&lt;&gt;""),(M84/F84*E82+M85/F85*D82)/(C95+U84),"")</f>
        <v>1.2843131412030138</v>
      </c>
      <c r="G95" s="1">
        <f>IF(C95,IF(AND(F84&lt;&gt;0,C82&lt;&gt;0),M85,M85/F85*D82)/(C95+U85),"")</f>
        <v>1.4757912619566422</v>
      </c>
      <c r="H95" s="1">
        <f>IF(C95,(M86)/(C95+U86),"")</f>
        <v>0.73947368421052628</v>
      </c>
      <c r="I95" s="1">
        <f>IF(C95,(M87)/(C95+U87),"")</f>
        <v>0</v>
      </c>
      <c r="J95" s="1">
        <f>IF(C95,(M88)/(C95+U88),"")</f>
        <v>0</v>
      </c>
      <c r="K95" s="14">
        <f>IF(AND(C95&lt;&gt;"",N82&lt;&gt;""),9.8*N82*LN((C95+U84)/(C95+V84)),"")</f>
        <v>3516.6413946093326</v>
      </c>
      <c r="L95" s="1">
        <f>IF(C95,9.8*F85*LN((C95+U85)/(C95+V85)),"")</f>
        <v>1532.8464281432912</v>
      </c>
      <c r="M95" s="1">
        <f>IF(C95,9.8*F86*LN((C95+U86)/(C95+V86)),"")</f>
        <v>4978.5265998191917</v>
      </c>
      <c r="N95" s="1">
        <f>IF(C95,9.8*F87*LN((C95+U87)/(C95+V87)),"")</f>
        <v>0</v>
      </c>
      <c r="O95" s="1">
        <f>IF(C95,9.8*F88*LN((C95+U88)/(C95+V88)),"")</f>
        <v>0</v>
      </c>
      <c r="P95" s="15">
        <f>IF(C95,SUM(K95:O95),"")</f>
        <v>10028.014422571816</v>
      </c>
      <c r="Q95" s="1"/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/>
      <c r="D96" s="1" t="str">
        <f>IF(C96,C96+Q84,"")</f>
        <v/>
      </c>
      <c r="E96" s="72" t="str">
        <f t="shared" ref="E96:E98" si="28">IF(C96,C96/D96,"")</f>
        <v/>
      </c>
      <c r="F96" s="14" t="str">
        <f>IF(AND(C96&lt;&gt;"",N82&lt;&gt;""),(M84/F84*E82+M85/F85*D82)/(C96+U84),"")</f>
        <v/>
      </c>
      <c r="G96" s="1" t="str">
        <f>IF(C96,IF(AND(F84&lt;&gt;0,C82&lt;&gt;0),M85,M85/F85*D82)/(C96+U85),"")</f>
        <v/>
      </c>
      <c r="H96" s="1" t="str">
        <f>IF(C96,(M86)/(C96+U86),"")</f>
        <v/>
      </c>
      <c r="I96" s="1" t="str">
        <f>IF(C96,(M87)/(C96+U87),"")</f>
        <v/>
      </c>
      <c r="J96" s="1" t="str">
        <f>IF(C96,(M88)/(C96+U88),"")</f>
        <v/>
      </c>
      <c r="K96" s="14" t="str">
        <f>IF(AND(C96&lt;&gt;"",N82&lt;&gt;""),9.8*N82*LN((C96+U84)/(C96+V84)),"")</f>
        <v/>
      </c>
      <c r="L96" s="1" t="str">
        <f>IF(C96,9.8*F85*LN((C96+U85)/(C96+V85)),"")</f>
        <v/>
      </c>
      <c r="M96" s="1" t="str">
        <f>IF(C96,9.8*F86*LN((C96+U86)/(C96+V86)),"")</f>
        <v/>
      </c>
      <c r="N96" s="1" t="str">
        <f>IF(C96,9.8*F87*LN((C96+U87)/(C96+V87)),"")</f>
        <v/>
      </c>
      <c r="O96" s="1" t="str">
        <f>IF(C96,9.8*F88*LN((C96+U88)/(C96+V88)),"")</f>
        <v/>
      </c>
      <c r="P96" s="15" t="str">
        <f>IF(C96,SUM(K96:O96),"")</f>
        <v/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46</v>
      </c>
      <c r="B98" s="49" t="s">
        <v>33</v>
      </c>
      <c r="C98" s="50"/>
      <c r="D98" s="25" t="str">
        <f>IF(C98,C98+Q84,"")</f>
        <v/>
      </c>
      <c r="E98" s="73" t="str">
        <f t="shared" si="28"/>
        <v/>
      </c>
      <c r="F98" s="70" t="str">
        <f>IF(AND(C98&lt;&gt;"",N82&lt;&gt;""),(M84/F84*E82+M85/F85*D82)/(C98+U84),"")</f>
        <v/>
      </c>
      <c r="G98" s="25" t="str">
        <f>IF(C98,IF(AND(F84&lt;&gt;0,C82&lt;&gt;0),M85,M85/F85*D82)/(C98+U85),"")</f>
        <v/>
      </c>
      <c r="H98" s="25" t="str">
        <f>IF(C98,(M86)/(C98+U86),"")</f>
        <v/>
      </c>
      <c r="I98" s="25" t="str">
        <f>IF(C98,(M87)/(C98+U87),"")</f>
        <v/>
      </c>
      <c r="J98" s="25" t="str">
        <f>IF(C98,(M88)/(C98+U88),"")</f>
        <v/>
      </c>
      <c r="K98" s="70" t="str">
        <f>IF(AND(C98&lt;&gt;"",N82&lt;&gt;""),9.8*N82*LN((C98+U84)/(C98+V84)),"")</f>
        <v/>
      </c>
      <c r="L98" s="25" t="str">
        <f>IF(C98,9.8*F85*LN((C98+U85)/(C98+V85)),"")</f>
        <v/>
      </c>
      <c r="M98" s="25" t="str">
        <f>IF(C98,9.8*F86*LN((C98+U86)/(C98+V86)),"")</f>
        <v/>
      </c>
      <c r="N98" s="25" t="str">
        <f>IF(C98,9.8*F87*LN((C98+U87)/(C98+V87)),"")</f>
        <v/>
      </c>
      <c r="O98" s="25" t="str">
        <f>IF(C98,9.8*F88*LN((C98+U88)/(C98+V88)),"")</f>
        <v/>
      </c>
      <c r="P98" s="71" t="str">
        <f>IF(C98,SUM(K98:O98),"")</f>
        <v/>
      </c>
      <c r="Q98" s="25"/>
      <c r="R98" s="25"/>
      <c r="S98" s="25"/>
      <c r="T98" s="51" t="str">
        <f t="shared" si="29"/>
        <v/>
      </c>
      <c r="U98" s="25"/>
      <c r="V98" s="25"/>
    </row>
    <row r="99" spans="1:22" ht="15" thickBot="1"/>
    <row r="100" spans="1:22" ht="15" thickBot="1">
      <c r="A100" s="52" t="s">
        <v>488</v>
      </c>
      <c r="B100" s="52"/>
      <c r="C100" s="29" t="s">
        <v>0</v>
      </c>
      <c r="D100" s="90" t="s">
        <v>41</v>
      </c>
      <c r="E100" s="90"/>
      <c r="F100" s="43"/>
      <c r="G100" s="43"/>
      <c r="H100" s="43"/>
      <c r="I100" s="86" t="s">
        <v>42</v>
      </c>
      <c r="J100" s="86"/>
      <c r="K100" s="86"/>
      <c r="L100" s="54" t="s">
        <v>70</v>
      </c>
      <c r="M100" s="86" t="s">
        <v>71</v>
      </c>
      <c r="N100" s="86"/>
      <c r="O100" s="87"/>
      <c r="P100" s="29" t="s">
        <v>49</v>
      </c>
      <c r="Q100" s="34" t="str">
        <f>IF(OR(P104&lt;P103,T104&lt;T103),"芯级燃烧时间不得小于助推燃烧时间！","")</f>
        <v/>
      </c>
      <c r="R100" s="44"/>
      <c r="S100" s="45"/>
      <c r="T100" s="29"/>
      <c r="U100" s="46" t="s">
        <v>45</v>
      </c>
      <c r="V100" s="46" t="s">
        <v>48</v>
      </c>
    </row>
    <row r="101" spans="1:22" ht="15" thickBot="1">
      <c r="A101" s="40" t="s">
        <v>489</v>
      </c>
      <c r="B101" s="39"/>
      <c r="C101" s="2">
        <v>0</v>
      </c>
      <c r="D101" s="2">
        <v>302</v>
      </c>
      <c r="E101" s="2">
        <v>0</v>
      </c>
      <c r="F101" s="41"/>
      <c r="G101" s="42"/>
      <c r="H101" s="42"/>
      <c r="I101" s="24" t="s">
        <v>514</v>
      </c>
      <c r="J101" s="24"/>
      <c r="K101" s="24"/>
      <c r="L101" s="55">
        <f>IFERROR(IF(AND(F103&lt;&gt;0,C101&lt;&gt;0),M103/F103*E101+M104/F104*D101,M104/F104*D101),0)</f>
        <v>3570.3905325443784</v>
      </c>
      <c r="M101" s="53" t="s">
        <v>45</v>
      </c>
      <c r="N101" s="17" t="str">
        <f>IF(AND(F103&lt;&gt;0,C101&lt;&gt;0),(M103+M104)/(M103/F103+M104/F104),"")</f>
        <v/>
      </c>
      <c r="O101" s="56" t="s">
        <v>46</v>
      </c>
      <c r="P101" s="89" t="s">
        <v>17</v>
      </c>
      <c r="Q101" s="89"/>
      <c r="R101" s="91"/>
      <c r="S101" s="88" t="s">
        <v>18</v>
      </c>
      <c r="T101" s="89"/>
      <c r="U101" s="89"/>
      <c r="V101" s="89"/>
    </row>
    <row r="102" spans="1:22" ht="15" thickBot="1">
      <c r="A102" s="33" t="s">
        <v>45</v>
      </c>
      <c r="B102" s="26" t="s">
        <v>39</v>
      </c>
      <c r="C102" s="1" t="s">
        <v>60</v>
      </c>
      <c r="D102" s="1" t="s">
        <v>61</v>
      </c>
      <c r="E102" s="1" t="s">
        <v>62</v>
      </c>
      <c r="F102" s="1" t="s">
        <v>63</v>
      </c>
      <c r="G102" s="1" t="s">
        <v>64</v>
      </c>
      <c r="H102" s="1" t="s">
        <v>65</v>
      </c>
      <c r="I102" s="24" t="s">
        <v>541</v>
      </c>
      <c r="J102" s="24"/>
      <c r="K102" s="24"/>
      <c r="L102" s="11" t="s">
        <v>6</v>
      </c>
      <c r="M102" s="12" t="s">
        <v>69</v>
      </c>
      <c r="N102" s="12" t="s">
        <v>15</v>
      </c>
      <c r="O102" s="13" t="s">
        <v>14</v>
      </c>
      <c r="P102" s="14" t="s">
        <v>12</v>
      </c>
      <c r="Q102" s="1" t="s">
        <v>10</v>
      </c>
      <c r="R102" s="15" t="s">
        <v>11</v>
      </c>
      <c r="S102" s="14" t="s">
        <v>13</v>
      </c>
      <c r="T102" s="1" t="s">
        <v>16</v>
      </c>
      <c r="U102" s="1" t="s">
        <v>10</v>
      </c>
      <c r="V102" s="1" t="s">
        <v>11</v>
      </c>
    </row>
    <row r="103" spans="1:22">
      <c r="A103" s="40"/>
      <c r="B103" s="27" t="s">
        <v>3</v>
      </c>
      <c r="C103" s="3"/>
      <c r="D103" s="4"/>
      <c r="E103" s="4"/>
      <c r="F103" s="4"/>
      <c r="G103" s="19"/>
      <c r="H103" s="20"/>
      <c r="I103" s="24"/>
      <c r="J103" s="24"/>
      <c r="K103" s="24"/>
      <c r="L103" s="14">
        <f>C103*C101</f>
        <v>0</v>
      </c>
      <c r="M103" s="1">
        <f>E103*C101</f>
        <v>0</v>
      </c>
      <c r="N103" s="1">
        <f>IF(D103,L103/D103,0)</f>
        <v>0</v>
      </c>
      <c r="O103" s="15">
        <f>L103-N103</f>
        <v>0</v>
      </c>
      <c r="P103" s="14">
        <f>IF(AND(F103&lt;&gt;0,C101&lt;&gt;0),O103/M103*F103/IF(G103,G103,1),0)</f>
        <v>0</v>
      </c>
      <c r="Q103" s="1">
        <f>SUM(L103:L107)</f>
        <v>2850</v>
      </c>
      <c r="R103" s="15">
        <f>N103+Q104</f>
        <v>2850</v>
      </c>
      <c r="S103" s="14">
        <f>N103+H103*O103</f>
        <v>0</v>
      </c>
      <c r="T103" s="1">
        <f>IF(AND(F103&lt;&gt;0,C101&lt;&gt;0),(1-H103)*O103/M103*F103/IF(G103,G103,1),0)</f>
        <v>0</v>
      </c>
      <c r="U103" s="1">
        <f>SUM(L103:L107)</f>
        <v>2850</v>
      </c>
      <c r="V103" s="1">
        <f>S103+U104</f>
        <v>2850</v>
      </c>
    </row>
    <row r="104" spans="1:22">
      <c r="A104" s="47"/>
      <c r="B104" s="27">
        <v>1</v>
      </c>
      <c r="C104" s="5">
        <v>2250</v>
      </c>
      <c r="D104" s="1">
        <v>13</v>
      </c>
      <c r="E104" s="1">
        <v>3996</v>
      </c>
      <c r="F104" s="1">
        <v>338</v>
      </c>
      <c r="G104" s="5">
        <v>1</v>
      </c>
      <c r="H104" s="21">
        <v>0.127</v>
      </c>
      <c r="I104" s="30" t="s">
        <v>515</v>
      </c>
      <c r="J104" s="30"/>
      <c r="K104" s="30"/>
      <c r="L104" s="14">
        <f>C104</f>
        <v>2250</v>
      </c>
      <c r="M104" s="1">
        <f>E104</f>
        <v>3996</v>
      </c>
      <c r="N104" s="1">
        <f>IF(D104,L104/D104,0)</f>
        <v>173.07692307692307</v>
      </c>
      <c r="O104" s="15">
        <f>L104-N104</f>
        <v>2076.9230769230771</v>
      </c>
      <c r="P104" s="14">
        <f t="shared" ref="P104:P107" si="30">IF(F104,O104/M104*F104/IF(G104,G104,1),0)</f>
        <v>175.67567567567568</v>
      </c>
      <c r="Q104" s="1">
        <f>IF(F104,SUM(L104:L107)-P103*M104/F104*IF(G104,G104,1),0)</f>
        <v>2850</v>
      </c>
      <c r="R104" s="15">
        <f>N104+Q105</f>
        <v>773.07692307692309</v>
      </c>
      <c r="S104" s="14">
        <f>N104+H104*O104</f>
        <v>436.84615384615381</v>
      </c>
      <c r="T104" s="1">
        <f>IF(F104,(1-H104)*O104/M104*F104/IF(G104,G104,1),0)</f>
        <v>153.3648648648649</v>
      </c>
      <c r="U104" s="1">
        <f>IF(F104,SUM(L104:L107)-T103*M104/F104*IF(G104,G104,1),0)</f>
        <v>2850</v>
      </c>
      <c r="V104" s="1">
        <f>S104+U105</f>
        <v>1036.8461538461538</v>
      </c>
    </row>
    <row r="105" spans="1:22">
      <c r="A105" s="47"/>
      <c r="B105" s="27">
        <v>2</v>
      </c>
      <c r="C105" s="5">
        <v>480</v>
      </c>
      <c r="D105" s="1">
        <v>8</v>
      </c>
      <c r="E105" s="1">
        <v>511</v>
      </c>
      <c r="F105" s="1">
        <v>438</v>
      </c>
      <c r="G105" s="5"/>
      <c r="H105" s="21"/>
      <c r="I105" s="30" t="s">
        <v>516</v>
      </c>
      <c r="J105" s="30"/>
      <c r="K105" s="30"/>
      <c r="L105" s="14">
        <f>C105</f>
        <v>480</v>
      </c>
      <c r="M105" s="1">
        <f>E105</f>
        <v>511</v>
      </c>
      <c r="N105" s="1">
        <f>IF(D105,L105/D105,0)</f>
        <v>60</v>
      </c>
      <c r="O105" s="15">
        <f>L105-N105</f>
        <v>420</v>
      </c>
      <c r="P105" s="14">
        <f t="shared" si="30"/>
        <v>360</v>
      </c>
      <c r="Q105" s="1">
        <f>SUM(L105:L107)</f>
        <v>600</v>
      </c>
      <c r="R105" s="15">
        <f>N105+Q106</f>
        <v>180</v>
      </c>
      <c r="S105" s="14">
        <f>N105+H105*O105</f>
        <v>60</v>
      </c>
      <c r="T105" s="1">
        <f t="shared" ref="T105:T107" si="31">IF(F105,(1-H105)*O105/M105*F105/IF(G105,G105,1),0)</f>
        <v>360</v>
      </c>
      <c r="U105" s="1">
        <f>SUM(L105:L107)</f>
        <v>600</v>
      </c>
      <c r="V105" s="1">
        <f>S105+U106</f>
        <v>180</v>
      </c>
    </row>
    <row r="106" spans="1:22">
      <c r="A106" s="33" t="s">
        <v>45</v>
      </c>
      <c r="B106" s="27">
        <v>3</v>
      </c>
      <c r="C106" s="5">
        <v>120</v>
      </c>
      <c r="D106" s="1">
        <v>6</v>
      </c>
      <c r="E106" s="1">
        <v>102</v>
      </c>
      <c r="F106" s="1">
        <v>456</v>
      </c>
      <c r="G106" s="5"/>
      <c r="H106" s="21"/>
      <c r="I106" s="30" t="s">
        <v>59</v>
      </c>
      <c r="J106" s="30"/>
      <c r="K106" s="30"/>
      <c r="L106" s="14">
        <f>C106</f>
        <v>120</v>
      </c>
      <c r="M106" s="1">
        <f>E106</f>
        <v>102</v>
      </c>
      <c r="N106" s="1">
        <f>IF(D106,L106/D106,0)</f>
        <v>20</v>
      </c>
      <c r="O106" s="15">
        <f>L106-N106</f>
        <v>100</v>
      </c>
      <c r="P106" s="14">
        <f t="shared" si="30"/>
        <v>447.05882352941177</v>
      </c>
      <c r="Q106" s="1">
        <f>SUM(L106:L107)</f>
        <v>120</v>
      </c>
      <c r="R106" s="15">
        <f>N106+Q107</f>
        <v>20</v>
      </c>
      <c r="S106" s="14">
        <f>N106+H106*O106</f>
        <v>20</v>
      </c>
      <c r="T106" s="1">
        <f t="shared" si="31"/>
        <v>447.05882352941177</v>
      </c>
      <c r="U106" s="1">
        <f>SUM(L106:L107)</f>
        <v>120</v>
      </c>
      <c r="V106" s="1">
        <f>S106+U107</f>
        <v>20</v>
      </c>
    </row>
    <row r="107" spans="1:22" ht="15" thickBot="1">
      <c r="A107" s="40"/>
      <c r="B107" s="28">
        <v>4</v>
      </c>
      <c r="C107" s="6"/>
      <c r="D107" s="7"/>
      <c r="E107" s="7"/>
      <c r="F107" s="7"/>
      <c r="G107" s="22"/>
      <c r="H107" s="23"/>
      <c r="I107" s="24"/>
      <c r="J107" s="24"/>
      <c r="K107" s="24"/>
      <c r="L107" s="16">
        <f>C107</f>
        <v>0</v>
      </c>
      <c r="M107" s="17">
        <f>E107</f>
        <v>0</v>
      </c>
      <c r="N107" s="17">
        <f>IF(D107,L107/D107,0)</f>
        <v>0</v>
      </c>
      <c r="O107" s="18">
        <f>L107-N107</f>
        <v>0</v>
      </c>
      <c r="P107" s="14">
        <f t="shared" si="30"/>
        <v>0</v>
      </c>
      <c r="Q107" s="17">
        <f>SUM(L107:L107)</f>
        <v>0</v>
      </c>
      <c r="R107" s="18">
        <f>N107</f>
        <v>0</v>
      </c>
      <c r="S107" s="16">
        <f>N107+H107*O107</f>
        <v>0</v>
      </c>
      <c r="T107" s="17">
        <f t="shared" si="31"/>
        <v>0</v>
      </c>
      <c r="U107" s="17">
        <f>SUM(L107:L107)</f>
        <v>0</v>
      </c>
      <c r="V107" s="17">
        <f>S107</f>
        <v>0</v>
      </c>
    </row>
    <row r="108" spans="1:22" ht="15" thickBot="1">
      <c r="A108" s="47"/>
      <c r="B108" s="26" t="s">
        <v>38</v>
      </c>
      <c r="C108" s="1" t="s">
        <v>4</v>
      </c>
      <c r="D108" s="1" t="s">
        <v>28</v>
      </c>
      <c r="E108" s="1" t="s">
        <v>265</v>
      </c>
      <c r="F108" s="69" t="s">
        <v>40</v>
      </c>
      <c r="G108" s="1" t="s">
        <v>29</v>
      </c>
      <c r="H108" s="1" t="s">
        <v>23</v>
      </c>
      <c r="I108" s="12" t="s">
        <v>24</v>
      </c>
      <c r="J108" s="12" t="s">
        <v>25</v>
      </c>
      <c r="K108" s="11" t="s">
        <v>19</v>
      </c>
      <c r="L108" s="12" t="s">
        <v>26</v>
      </c>
      <c r="M108" s="12" t="s">
        <v>20</v>
      </c>
      <c r="N108" s="12" t="s">
        <v>21</v>
      </c>
      <c r="O108" s="12" t="s">
        <v>22</v>
      </c>
      <c r="P108" s="13" t="s">
        <v>27</v>
      </c>
      <c r="Q108" s="85" t="s">
        <v>42</v>
      </c>
      <c r="R108" s="85"/>
      <c r="S108" s="85"/>
      <c r="T108" s="31" t="s">
        <v>50</v>
      </c>
      <c r="U108" s="35" t="s">
        <v>47</v>
      </c>
      <c r="V108" s="36" t="s">
        <v>264</v>
      </c>
    </row>
    <row r="109" spans="1:22">
      <c r="A109" s="47"/>
      <c r="B109" s="27" t="s">
        <v>30</v>
      </c>
      <c r="C109" s="8">
        <v>144</v>
      </c>
      <c r="D109" s="1">
        <f>IF(C109,C109+Q103,"")</f>
        <v>2994</v>
      </c>
      <c r="E109" s="72">
        <f>IF(C109,C109/D109,"")</f>
        <v>4.8096192384769539E-2</v>
      </c>
      <c r="F109" s="14" t="str">
        <f>IF(AND(C109&lt;&gt;"",N101&lt;&gt;""),(M103/F103*E101+M104/F104*D101)/(C109+Q103),"")</f>
        <v/>
      </c>
      <c r="G109" s="1">
        <f>IF(C109,IF(AND(F103&lt;&gt;0,C101&lt;&gt;0),M104,M104/F104*D101)/(C109+Q104),"")</f>
        <v>1.192515207930654</v>
      </c>
      <c r="H109" s="1">
        <f>IF(C109,(M105)/(C109+Q105),"")</f>
        <v>0.68682795698924726</v>
      </c>
      <c r="I109" s="1">
        <f>IF(C109,(M106)/(C109+Q106),"")</f>
        <v>0.38636363636363635</v>
      </c>
      <c r="J109" s="1">
        <f>IF(C109,(M107)/(C109+Q107),"")</f>
        <v>0</v>
      </c>
      <c r="K109" s="14" t="str">
        <f>IF(AND(C109&lt;&gt;"",N101&lt;&gt;""),9.8*N101*LN((C109+Q103)/(C109+R103)),"")</f>
        <v/>
      </c>
      <c r="L109" s="1">
        <f>IF(C109,9.8*F104*LN((C109+Q104)/(C109+R104)),"")</f>
        <v>3919.146255394287</v>
      </c>
      <c r="M109" s="1">
        <f>IF(C109,9.8*F105*LN((C109+Q105)/(C109+R105)),"")</f>
        <v>3568.2614707305693</v>
      </c>
      <c r="N109" s="1">
        <f>IF(C109,9.8*F106*LN((C109+Q106)/(C109+R106)),"")</f>
        <v>2127.5182594794801</v>
      </c>
      <c r="O109" s="1">
        <f>IF(C109,9.8*F107*LN((C109+Q107)/(C109+R107)),"")</f>
        <v>0</v>
      </c>
      <c r="P109" s="15">
        <f>IF(C109,SUM(K109:O109),"")</f>
        <v>9614.9259856043373</v>
      </c>
      <c r="Q109" s="1"/>
      <c r="R109" s="1"/>
      <c r="S109" s="1"/>
      <c r="T109" s="32" t="str">
        <f>IF(OR(F109&lt;1,AND(F109="",G109&lt;1)),"起飞推重比不得小于0，空天飞机除外","")</f>
        <v/>
      </c>
      <c r="U109" s="1"/>
      <c r="V109" s="1"/>
    </row>
    <row r="110" spans="1:22">
      <c r="A110" s="33" t="s">
        <v>47</v>
      </c>
      <c r="B110" s="27" t="s">
        <v>31</v>
      </c>
      <c r="C110" s="9"/>
      <c r="D110" s="1" t="str">
        <f>IF(C110,C110+Q103,"")</f>
        <v/>
      </c>
      <c r="E110" s="72" t="str">
        <f t="shared" ref="E110:E112" si="32">IF(C110,C110/D110,"")</f>
        <v/>
      </c>
      <c r="F110" s="14" t="str">
        <f>IF(AND(C110&lt;&gt;"",N101&lt;&gt;""),(M103/F103*E101+M104/F104*D101)/(C110+Q103),"")</f>
        <v/>
      </c>
      <c r="G110" s="1" t="str">
        <f>IF(C110,IF(AND(F103&lt;&gt;0,C101&lt;&gt;0),M104,M104/F104*D101)/(C110+Q104),"")</f>
        <v/>
      </c>
      <c r="H110" s="1" t="str">
        <f>IF(C110,(M105)/(C110+Q105),"")</f>
        <v/>
      </c>
      <c r="I110" s="1" t="str">
        <f>IF(C110,(M106)/(C110+Q106),"")</f>
        <v/>
      </c>
      <c r="J110" s="1" t="str">
        <f>IF(C110,(M107)/(C110+Q107),"")</f>
        <v/>
      </c>
      <c r="K110" s="14" t="str">
        <f>IF(AND(C110&lt;&gt;"",N101&lt;&gt;""),9.8*N101*LN((C110+Q103)/(C110+R103)),"")</f>
        <v/>
      </c>
      <c r="L110" s="1" t="str">
        <f>IF(C110,9.8*F104*LN((C110+Q104)/(C110+R104)),"")</f>
        <v/>
      </c>
      <c r="M110" s="1" t="str">
        <f>IF(C110,9.8*F105*LN((C110+Q105)/(C110+R105)),"")</f>
        <v/>
      </c>
      <c r="N110" s="1" t="str">
        <f>IF(C110,9.8*F106*LN((C110+Q106)/(C110+R106)),"")</f>
        <v/>
      </c>
      <c r="O110" s="1" t="str">
        <f>IF(C110,9.8*F107*LN((C110+Q107)/(C110+R107)),"")</f>
        <v/>
      </c>
      <c r="P110" s="15" t="str">
        <f>IF(C110,SUM(K110:O110),"")</f>
        <v/>
      </c>
      <c r="Q110" s="1"/>
      <c r="R110" s="1"/>
      <c r="S110" s="1"/>
      <c r="T110" s="32" t="str">
        <f t="shared" ref="T110:T112" si="33">IF(OR(F110&lt;1,AND(F110="",G110&lt;1)),"起飞推重比不得小于0，空天飞机除外","")</f>
        <v/>
      </c>
      <c r="U110" s="1"/>
      <c r="V110" s="1"/>
    </row>
    <row r="111" spans="1:22">
      <c r="A111" s="40"/>
      <c r="B111" s="27" t="s">
        <v>36</v>
      </c>
      <c r="C111" s="9">
        <v>43</v>
      </c>
      <c r="D111" s="1">
        <f>IF(C111,C111+Q103,"")</f>
        <v>2893</v>
      </c>
      <c r="E111" s="72">
        <f t="shared" si="32"/>
        <v>1.4863463532665053E-2</v>
      </c>
      <c r="F111" s="14" t="str">
        <f>IF(AND(C111&lt;&gt;"",N101&lt;&gt;""),(M103/F103*E101+M104/F104*D101)/(C111+Q103),"")</f>
        <v/>
      </c>
      <c r="G111" s="1">
        <f>IF(C111,IF(AND(F103&lt;&gt;0,C101&lt;&gt;0),M104,M104/F104*D101)/(C111+Q104),"")</f>
        <v>1.2341481273917658</v>
      </c>
      <c r="H111" s="1">
        <f>IF(C111,(M105)/(C111+Q105),"")</f>
        <v>0.79471228615863143</v>
      </c>
      <c r="I111" s="1">
        <f>IF(C111,(M106)/(C111+Q106),"")</f>
        <v>0.62576687116564422</v>
      </c>
      <c r="J111" s="1">
        <f>IF(C111,(M107)/(C111+Q107),"")</f>
        <v>0</v>
      </c>
      <c r="K111" s="14" t="str">
        <f>IF(AND(C111&lt;&gt;"",N101&lt;&gt;""),9.8*N101*LN((C111+Q103)/(C111+R103)),"")</f>
        <v/>
      </c>
      <c r="L111" s="1">
        <f>IF(C111,9.8*F104*LN((C111+Q104)/(C111+R104)),"")</f>
        <v>4191.9769682348533</v>
      </c>
      <c r="M111" s="1">
        <f>IF(C111,9.8*F105*LN((C111+Q105)/(C111+R105)),"")</f>
        <v>4545.5355025021445</v>
      </c>
      <c r="N111" s="1">
        <f>IF(C111,9.8*F106*LN((C111+Q106)/(C111+R106)),"")</f>
        <v>4248.1104320667782</v>
      </c>
      <c r="O111" s="1">
        <f>IF(C111,9.8*F107*LN((C111+Q107)/(C111+R107)),"")</f>
        <v>0</v>
      </c>
      <c r="P111" s="15">
        <f>IF(C111,SUM(K111:O111),"")</f>
        <v>12985.622902803776</v>
      </c>
      <c r="Q111" s="1"/>
      <c r="R111" s="1"/>
      <c r="S111" s="1"/>
      <c r="T111" s="32" t="str">
        <f t="shared" si="33"/>
        <v/>
      </c>
      <c r="U111" s="1"/>
      <c r="V111" s="1"/>
    </row>
    <row r="112" spans="1:22" ht="15" thickBot="1">
      <c r="A112" s="47"/>
      <c r="B112" s="28" t="s">
        <v>5</v>
      </c>
      <c r="C112" s="10"/>
      <c r="D112" s="1" t="str">
        <f>IF(C112,C112+Q103,"")</f>
        <v/>
      </c>
      <c r="E112" s="72" t="str">
        <f t="shared" si="32"/>
        <v/>
      </c>
      <c r="F112" s="14" t="str">
        <f>IF(AND(C112&lt;&gt;"",N101&lt;&gt;""),(M103/F103*E101+M104/F104*D101)/(C112+Q103),"")</f>
        <v/>
      </c>
      <c r="G112" s="1" t="str">
        <f>IF(C112,IF(AND(F103&lt;&gt;0,C101&lt;&gt;0),M104,M104/F104*D101)/(C112+Q104),"")</f>
        <v/>
      </c>
      <c r="H112" s="1" t="str">
        <f>IF(C112,(M105)/(C112+Q105),"")</f>
        <v/>
      </c>
      <c r="I112" s="1" t="str">
        <f>IF(C112,(M106)/(C112+Q106),"")</f>
        <v/>
      </c>
      <c r="J112" s="1" t="str">
        <f>IF(C112,(M107)/(C112+Q107),"")</f>
        <v/>
      </c>
      <c r="K112" s="14" t="str">
        <f>IF(AND(C112&lt;&gt;"",N101&lt;&gt;""),9.8*N101*LN((C112+Q103)/(C112+R103)),"")</f>
        <v/>
      </c>
      <c r="L112" s="1" t="str">
        <f>IF(C112,9.8*F104*LN((C112+Q104)/(C112+R104)),"")</f>
        <v/>
      </c>
      <c r="M112" s="1" t="str">
        <f>IF(C112,9.8*F105*LN((C112+Q105)/(C112+R105)),"")</f>
        <v/>
      </c>
      <c r="N112" s="1" t="str">
        <f>IF(C112,9.8*F106*LN((C112+Q106)/(C112+R106)),"")</f>
        <v/>
      </c>
      <c r="O112" s="1" t="str">
        <f>IF(C112,9.8*F107*LN((C112+Q107)/(C112+R107)),"")</f>
        <v/>
      </c>
      <c r="P112" s="15" t="str">
        <f>IF(C112,SUM(K112:O112),"")</f>
        <v/>
      </c>
      <c r="Q112" s="17"/>
      <c r="R112" s="17"/>
      <c r="S112" s="17"/>
      <c r="T112" s="32" t="str">
        <f t="shared" si="33"/>
        <v/>
      </c>
      <c r="U112" s="1"/>
      <c r="V112" s="1"/>
    </row>
    <row r="113" spans="1:22" ht="15" thickBot="1">
      <c r="A113" s="33" t="s">
        <v>45</v>
      </c>
      <c r="B113" s="26" t="s">
        <v>37</v>
      </c>
      <c r="C113" s="1" t="s">
        <v>54</v>
      </c>
      <c r="D113" s="12" t="s">
        <v>28</v>
      </c>
      <c r="E113" s="12" t="s">
        <v>266</v>
      </c>
      <c r="F113" s="11" t="s">
        <v>40</v>
      </c>
      <c r="G113" s="12" t="s">
        <v>29</v>
      </c>
      <c r="H113" s="12" t="s">
        <v>23</v>
      </c>
      <c r="I113" s="12" t="s">
        <v>24</v>
      </c>
      <c r="J113" s="12" t="s">
        <v>25</v>
      </c>
      <c r="K113" s="11" t="s">
        <v>19</v>
      </c>
      <c r="L113" s="12" t="s">
        <v>26</v>
      </c>
      <c r="M113" s="12" t="s">
        <v>20</v>
      </c>
      <c r="N113" s="12" t="s">
        <v>21</v>
      </c>
      <c r="O113" s="12" t="s">
        <v>22</v>
      </c>
      <c r="P113" s="13" t="s">
        <v>27</v>
      </c>
      <c r="Q113" s="85" t="s">
        <v>42</v>
      </c>
      <c r="R113" s="85"/>
      <c r="S113" s="85"/>
      <c r="T113" s="12" t="s">
        <v>51</v>
      </c>
      <c r="U113" s="37" t="s">
        <v>45</v>
      </c>
      <c r="V113" s="38" t="s">
        <v>48</v>
      </c>
    </row>
    <row r="114" spans="1:22">
      <c r="A114" s="40"/>
      <c r="B114" s="27" t="s">
        <v>30</v>
      </c>
      <c r="C114" s="8">
        <v>107</v>
      </c>
      <c r="D114" s="1">
        <f>IF(C114,C114+Q103,"")</f>
        <v>2957</v>
      </c>
      <c r="E114" s="72">
        <f>IF(C114,C114/D114,"")</f>
        <v>3.6185322962461956E-2</v>
      </c>
      <c r="F114" s="14" t="str">
        <f>IF(AND(C114&lt;&gt;"",N101&lt;&gt;""),(M103/F103*E101+M104/F104*D101)/(C114+U103),"")</f>
        <v/>
      </c>
      <c r="G114" s="1">
        <f>IF(C114,IF(AND(F103&lt;&gt;0,C101&lt;&gt;0),M104,M104/F104*D101)/(C114+U104),"")</f>
        <v>1.2074367712358398</v>
      </c>
      <c r="H114" s="1">
        <f>IF(C114,(M105)/(C114+U105),"")</f>
        <v>0.72277227722772275</v>
      </c>
      <c r="I114" s="1">
        <f>IF(C114,(M106)/(C114+U106),"")</f>
        <v>0.44933920704845814</v>
      </c>
      <c r="J114" s="1">
        <f>IF(C114,(M107)/(C114+U107),"")</f>
        <v>0</v>
      </c>
      <c r="K114" s="14" t="str">
        <f>IF(AND(C114&lt;&gt;"",N101&lt;&gt;""),9.8*N101*LN((C114+U103)/(C114+V103)),"")</f>
        <v/>
      </c>
      <c r="L114" s="1">
        <f>IF(C114,9.8*F104*LN((C114+U104)/(C114+V104)),"")</f>
        <v>3146.0474225268454</v>
      </c>
      <c r="M114" s="1">
        <f>IF(C114,9.8*F105*LN((C114+U105)/(C114+V105)),"")</f>
        <v>3869.8065673678516</v>
      </c>
      <c r="N114" s="1">
        <f>IF(C114,9.8*F106*LN((C114+U106)/(C114+V106)),"")</f>
        <v>2595.3133861547399</v>
      </c>
      <c r="O114" s="1">
        <f>IF(C114,9.8*F107*LN((C114+U107)/(C114+V107)),"")</f>
        <v>0</v>
      </c>
      <c r="P114" s="15">
        <f>IF(C114,SUM(K114:O114),"")</f>
        <v>9611.1673760494359</v>
      </c>
      <c r="Q114" s="1"/>
      <c r="R114" s="1"/>
      <c r="S114" s="1"/>
      <c r="T114" s="32" t="str">
        <f>IF(OR(F114&lt;1,AND(F114="",G114&lt;1)),"起飞推重比不得小于0，空天飞机除外","")</f>
        <v/>
      </c>
      <c r="U114" s="1"/>
      <c r="V114" s="1"/>
    </row>
    <row r="115" spans="1:22">
      <c r="A115" s="47"/>
      <c r="B115" s="27" t="s">
        <v>31</v>
      </c>
      <c r="C115" s="9"/>
      <c r="D115" s="1" t="str">
        <f>IF(C115,C115+Q103,"")</f>
        <v/>
      </c>
      <c r="E115" s="72" t="str">
        <f t="shared" ref="E115:E117" si="34">IF(C115,C115/D115,"")</f>
        <v/>
      </c>
      <c r="F115" s="14" t="str">
        <f>IF(AND(C115&lt;&gt;"",N101&lt;&gt;""),(M103/F103*E101+M104/F104*D101)/(C115+U103),"")</f>
        <v/>
      </c>
      <c r="G115" s="1" t="str">
        <f>IF(C115,IF(AND(F103&lt;&gt;0,C101&lt;&gt;0),M104,M104/F104*D101)/(C115+U104),"")</f>
        <v/>
      </c>
      <c r="H115" s="1" t="str">
        <f>IF(C115,(M105)/(C115+U105),"")</f>
        <v/>
      </c>
      <c r="I115" s="1" t="str">
        <f>IF(C115,(M106)/(C115+U106),"")</f>
        <v/>
      </c>
      <c r="J115" s="1" t="str">
        <f>IF(C115,(M107)/(C115+U107),"")</f>
        <v/>
      </c>
      <c r="K115" s="14" t="str">
        <f>IF(AND(C115&lt;&gt;"",N101&lt;&gt;""),9.8*N101*LN((C115+U103)/(C115+V103)),"")</f>
        <v/>
      </c>
      <c r="L115" s="1" t="str">
        <f>IF(C115,9.8*F104*LN((C115+U104)/(C115+V104)),"")</f>
        <v/>
      </c>
      <c r="M115" s="1" t="str">
        <f>IF(C115,9.8*F105*LN((C115+U105)/(C115+V105)),"")</f>
        <v/>
      </c>
      <c r="N115" s="1" t="str">
        <f>IF(C115,9.8*F106*LN((C115+U106)/(C115+V106)),"")</f>
        <v/>
      </c>
      <c r="O115" s="1" t="str">
        <f>IF(C115,9.8*F107*LN((C115+U107)/(C115+V107)),"")</f>
        <v/>
      </c>
      <c r="P115" s="15" t="str">
        <f>IF(C115,SUM(K115:O115),"")</f>
        <v/>
      </c>
      <c r="Q115" s="1"/>
      <c r="R115" s="1"/>
      <c r="S115" s="1"/>
      <c r="T115" s="32" t="str">
        <f t="shared" ref="T115:T117" si="35">IF(OR(F115&lt;1,AND(F115="",G115&lt;1)),"起飞推重比不得小于0，空天飞机除外","")</f>
        <v/>
      </c>
      <c r="U115" s="1"/>
      <c r="V115" s="1"/>
    </row>
    <row r="116" spans="1:22">
      <c r="A116" s="47"/>
      <c r="B116" s="27" t="s">
        <v>32</v>
      </c>
      <c r="C116" s="9">
        <v>29</v>
      </c>
      <c r="D116" s="1">
        <f>IF(C116,C116+Q103,"")</f>
        <v>2879</v>
      </c>
      <c r="E116" s="72">
        <f t="shared" si="34"/>
        <v>1.0072941993747829E-2</v>
      </c>
      <c r="F116" s="14" t="str">
        <f>IF(AND(C116&lt;&gt;"",N101&lt;&gt;""),(M103/F103*E101+M104/F104*D101)/(C116+U103),"")</f>
        <v/>
      </c>
      <c r="G116" s="1">
        <f>IF(C116,IF(AND(F103&lt;&gt;0,C101&lt;&gt;0),M104,M104/F104*D101)/(C116+U104),"")</f>
        <v>1.2401495423912394</v>
      </c>
      <c r="H116" s="1">
        <f>IF(C116,(M105)/(C116+U105),"")</f>
        <v>0.81240063593004774</v>
      </c>
      <c r="I116" s="1">
        <f>IF(C116,(M106)/(C116+U106),"")</f>
        <v>0.68456375838926176</v>
      </c>
      <c r="J116" s="1">
        <f>IF(C116,(M107)/(C116+U107),"")</f>
        <v>0</v>
      </c>
      <c r="K116" s="14" t="str">
        <f>IF(AND(C116&lt;&gt;"",N101&lt;&gt;""),9.8*N101*LN((C116+U103)/(C116+V103)),"")</f>
        <v/>
      </c>
      <c r="L116" s="1">
        <f>IF(C116,9.8*F104*LN((C116+U104)/(C116+V104)),"")</f>
        <v>3291.4458148101039</v>
      </c>
      <c r="M116" s="1">
        <f>IF(C116,9.8*F105*LN((C116+U105)/(C116+V105)),"")</f>
        <v>4729.3534631272159</v>
      </c>
      <c r="N116" s="1">
        <f>IF(C116,9.8*F106*LN((C116+U106)/(C116+V106)),"")</f>
        <v>4969.8687038122998</v>
      </c>
      <c r="O116" s="1">
        <f>IF(C116,9.8*F107*LN((C116+U107)/(C116+V107)),"")</f>
        <v>0</v>
      </c>
      <c r="P116" s="15">
        <f>IF(C116,SUM(K116:O116),"")</f>
        <v>12990.667981749619</v>
      </c>
      <c r="Q116" s="1"/>
      <c r="R116" s="1"/>
      <c r="S116" s="1"/>
      <c r="T116" s="32" t="str">
        <f t="shared" si="35"/>
        <v/>
      </c>
      <c r="U116" s="1"/>
      <c r="V116" s="1"/>
    </row>
    <row r="117" spans="1:22" ht="15" thickBot="1">
      <c r="A117" s="48" t="s">
        <v>46</v>
      </c>
      <c r="B117" s="49" t="s">
        <v>33</v>
      </c>
      <c r="C117" s="50"/>
      <c r="D117" s="25" t="str">
        <f>IF(C117,C117+Q103,"")</f>
        <v/>
      </c>
      <c r="E117" s="73" t="str">
        <f t="shared" si="34"/>
        <v/>
      </c>
      <c r="F117" s="70" t="str">
        <f>IF(AND(C117&lt;&gt;"",N101&lt;&gt;""),(M103/F103*E101+M104/F104*D101)/(C117+U103),"")</f>
        <v/>
      </c>
      <c r="G117" s="25" t="str">
        <f>IF(C117,IF(AND(F103&lt;&gt;0,C101&lt;&gt;0),M104,M104/F104*D101)/(C117+U104),"")</f>
        <v/>
      </c>
      <c r="H117" s="25" t="str">
        <f>IF(C117,(M105)/(C117+U105),"")</f>
        <v/>
      </c>
      <c r="I117" s="25" t="str">
        <f>IF(C117,(M106)/(C117+U106),"")</f>
        <v/>
      </c>
      <c r="J117" s="25" t="str">
        <f>IF(C117,(M107)/(C117+U107),"")</f>
        <v/>
      </c>
      <c r="K117" s="70" t="str">
        <f>IF(AND(C117&lt;&gt;"",N101&lt;&gt;""),9.8*N101*LN((C117+U103)/(C117+V103)),"")</f>
        <v/>
      </c>
      <c r="L117" s="25" t="str">
        <f>IF(C117,9.8*F104*LN((C117+U104)/(C117+V104)),"")</f>
        <v/>
      </c>
      <c r="M117" s="25" t="str">
        <f>IF(C117,9.8*F105*LN((C117+U105)/(C117+V105)),"")</f>
        <v/>
      </c>
      <c r="N117" s="25" t="str">
        <f>IF(C117,9.8*F106*LN((C117+U106)/(C117+V106)),"")</f>
        <v/>
      </c>
      <c r="O117" s="25" t="str">
        <f>IF(C117,9.8*F107*LN((C117+U107)/(C117+V107)),"")</f>
        <v/>
      </c>
      <c r="P117" s="71" t="str">
        <f>IF(C117,SUM(K117:O117),"")</f>
        <v/>
      </c>
      <c r="Q117" s="25"/>
      <c r="R117" s="25"/>
      <c r="S117" s="25"/>
      <c r="T117" s="51" t="str">
        <f t="shared" si="35"/>
        <v/>
      </c>
      <c r="U117" s="25"/>
      <c r="V117" s="25"/>
    </row>
    <row r="118" spans="1:22" ht="15" thickBot="1"/>
    <row r="119" spans="1:22" ht="15" thickBot="1">
      <c r="A119" s="52" t="s">
        <v>490</v>
      </c>
      <c r="B119" s="52"/>
      <c r="C119" s="29" t="s">
        <v>0</v>
      </c>
      <c r="D119" s="90" t="s">
        <v>41</v>
      </c>
      <c r="E119" s="90"/>
      <c r="F119" s="43"/>
      <c r="G119" s="43"/>
      <c r="H119" s="43"/>
      <c r="I119" s="86" t="s">
        <v>42</v>
      </c>
      <c r="J119" s="86"/>
      <c r="K119" s="86"/>
      <c r="L119" s="54" t="s">
        <v>70</v>
      </c>
      <c r="M119" s="86" t="s">
        <v>71</v>
      </c>
      <c r="N119" s="86"/>
      <c r="O119" s="87"/>
      <c r="P119" s="29" t="s">
        <v>49</v>
      </c>
      <c r="Q119" s="34" t="str">
        <f>IF(OR(P123&lt;P122,T123&lt;T122),"芯级燃烧时间不得小于助推燃烧时间！","")</f>
        <v/>
      </c>
      <c r="R119" s="44"/>
      <c r="S119" s="45"/>
      <c r="T119" s="29"/>
      <c r="U119" s="46" t="s">
        <v>45</v>
      </c>
      <c r="V119" s="46" t="s">
        <v>48</v>
      </c>
    </row>
    <row r="120" spans="1:22" ht="15" thickBot="1">
      <c r="A120" s="40" t="s">
        <v>491</v>
      </c>
      <c r="B120" s="39"/>
      <c r="C120" s="2">
        <v>0</v>
      </c>
      <c r="D120" s="2">
        <v>312</v>
      </c>
      <c r="E120" s="2">
        <v>0</v>
      </c>
      <c r="F120" s="41"/>
      <c r="G120" s="42"/>
      <c r="H120" s="42"/>
      <c r="I120" s="24" t="s">
        <v>540</v>
      </c>
      <c r="J120" s="24"/>
      <c r="K120" s="24"/>
      <c r="L120" s="55">
        <f>IFERROR(IF(AND(F122&lt;&gt;0,C120&lt;&gt;0),M122/F122*E120+M123/F123*D120,M123/F123*D120),0)</f>
        <v>3302.7692307692309</v>
      </c>
      <c r="M120" s="53" t="s">
        <v>45</v>
      </c>
      <c r="N120" s="17" t="str">
        <f>IF(AND(F122&lt;&gt;0,C120&lt;&gt;0),(M122+M123)/(M122/F122+M123/F123),"")</f>
        <v/>
      </c>
      <c r="O120" s="56" t="s">
        <v>46</v>
      </c>
      <c r="P120" s="89" t="s">
        <v>17</v>
      </c>
      <c r="Q120" s="89"/>
      <c r="R120" s="91"/>
      <c r="S120" s="88" t="s">
        <v>18</v>
      </c>
      <c r="T120" s="89"/>
      <c r="U120" s="89"/>
      <c r="V120" s="89"/>
    </row>
    <row r="121" spans="1:22" ht="15" thickBot="1">
      <c r="A121" s="33" t="s">
        <v>45</v>
      </c>
      <c r="B121" s="26" t="s">
        <v>39</v>
      </c>
      <c r="C121" s="1" t="s">
        <v>60</v>
      </c>
      <c r="D121" s="1" t="s">
        <v>61</v>
      </c>
      <c r="E121" s="1" t="s">
        <v>62</v>
      </c>
      <c r="F121" s="1" t="s">
        <v>63</v>
      </c>
      <c r="G121" s="1" t="s">
        <v>64</v>
      </c>
      <c r="H121" s="1" t="s">
        <v>65</v>
      </c>
      <c r="I121" s="24"/>
      <c r="J121" s="24"/>
      <c r="K121" s="24"/>
      <c r="L121" s="11" t="s">
        <v>6</v>
      </c>
      <c r="M121" s="12" t="s">
        <v>69</v>
      </c>
      <c r="N121" s="12" t="s">
        <v>15</v>
      </c>
      <c r="O121" s="13" t="s">
        <v>14</v>
      </c>
      <c r="P121" s="14" t="s">
        <v>12</v>
      </c>
      <c r="Q121" s="1" t="s">
        <v>10</v>
      </c>
      <c r="R121" s="15" t="s">
        <v>11</v>
      </c>
      <c r="S121" s="14" t="s">
        <v>13</v>
      </c>
      <c r="T121" s="1" t="s">
        <v>16</v>
      </c>
      <c r="U121" s="1" t="s">
        <v>10</v>
      </c>
      <c r="V121" s="1" t="s">
        <v>11</v>
      </c>
    </row>
    <row r="122" spans="1:22">
      <c r="A122" s="40"/>
      <c r="B122" s="27" t="s">
        <v>3</v>
      </c>
      <c r="C122" s="3"/>
      <c r="D122" s="4"/>
      <c r="E122" s="4"/>
      <c r="F122" s="4"/>
      <c r="G122" s="19"/>
      <c r="H122" s="20"/>
      <c r="I122" s="24"/>
      <c r="J122" s="24"/>
      <c r="K122" s="24"/>
      <c r="L122" s="14">
        <f>C122*C120</f>
        <v>0</v>
      </c>
      <c r="M122" s="1">
        <f>E122*C120</f>
        <v>0</v>
      </c>
      <c r="N122" s="1">
        <f>IF(D122,L122/D122,0)</f>
        <v>0</v>
      </c>
      <c r="O122" s="15">
        <f>L122-N122</f>
        <v>0</v>
      </c>
      <c r="P122" s="14">
        <f>IF(AND(F122&lt;&gt;0,C120&lt;&gt;0),O122/M122*F122/IF(G122,G122,1),0)</f>
        <v>0</v>
      </c>
      <c r="Q122" s="1">
        <f>SUM(L122:L126)</f>
        <v>2570</v>
      </c>
      <c r="R122" s="15">
        <f>N122+Q123</f>
        <v>2570</v>
      </c>
      <c r="S122" s="14">
        <f>N122+H122*O122</f>
        <v>0</v>
      </c>
      <c r="T122" s="1">
        <f>IF(AND(F122&lt;&gt;0,C120&lt;&gt;0),(1-H122)*O122/M122*F122/IF(G122,G122,1),0)</f>
        <v>0</v>
      </c>
      <c r="U122" s="1">
        <f>SUM(L122:L126)</f>
        <v>2570</v>
      </c>
      <c r="V122" s="1">
        <f>S122+U123</f>
        <v>2570</v>
      </c>
    </row>
    <row r="123" spans="1:22">
      <c r="A123" s="47"/>
      <c r="B123" s="27">
        <v>1</v>
      </c>
      <c r="C123" s="5">
        <v>2000</v>
      </c>
      <c r="D123" s="1">
        <v>16</v>
      </c>
      <c r="E123" s="1">
        <v>3578</v>
      </c>
      <c r="F123" s="1">
        <v>338</v>
      </c>
      <c r="G123" s="5">
        <v>1</v>
      </c>
      <c r="H123" s="21">
        <v>9.7000000000000003E-2</v>
      </c>
      <c r="I123" s="30" t="s">
        <v>517</v>
      </c>
      <c r="J123" s="30"/>
      <c r="K123" s="30"/>
      <c r="L123" s="14">
        <f>C123</f>
        <v>2000</v>
      </c>
      <c r="M123" s="1">
        <f>E123</f>
        <v>3578</v>
      </c>
      <c r="N123" s="1">
        <f>IF(D123,L123/D123,0)</f>
        <v>125</v>
      </c>
      <c r="O123" s="15">
        <f>L123-N123</f>
        <v>1875</v>
      </c>
      <c r="P123" s="14">
        <f t="shared" ref="P123:P126" si="36">IF(F123,O123/M123*F123/IF(G123,G123,1),0)</f>
        <v>177.12409167132478</v>
      </c>
      <c r="Q123" s="1">
        <f>IF(F123,SUM(L123:L126)-P122*M123/F123*IF(G123,G123,1),0)</f>
        <v>2570</v>
      </c>
      <c r="R123" s="15">
        <f>N123+Q124</f>
        <v>695</v>
      </c>
      <c r="S123" s="14">
        <f>N123+H123*O123</f>
        <v>306.875</v>
      </c>
      <c r="T123" s="1">
        <f>IF(F123,(1-H123)*O123/M123*F123/IF(G123,G123,1),0)</f>
        <v>159.94305477920628</v>
      </c>
      <c r="U123" s="1">
        <f>IF(F123,SUM(L123:L126)-T122*M123/F123*IF(G123,G123,1),0)</f>
        <v>2570</v>
      </c>
      <c r="V123" s="1">
        <f>S123+U124</f>
        <v>876.875</v>
      </c>
    </row>
    <row r="124" spans="1:22">
      <c r="A124" s="47"/>
      <c r="B124" s="27">
        <v>2</v>
      </c>
      <c r="C124" s="5">
        <v>440</v>
      </c>
      <c r="D124" s="1">
        <v>9</v>
      </c>
      <c r="E124" s="1">
        <v>488</v>
      </c>
      <c r="F124" s="1">
        <v>445</v>
      </c>
      <c r="G124" s="5"/>
      <c r="H124" s="21"/>
      <c r="I124" s="30" t="s">
        <v>94</v>
      </c>
      <c r="J124" s="30"/>
      <c r="K124" s="30"/>
      <c r="L124" s="14">
        <f>C124</f>
        <v>440</v>
      </c>
      <c r="M124" s="1">
        <f>E124</f>
        <v>488</v>
      </c>
      <c r="N124" s="1">
        <f>IF(D124,L124/D124,0)</f>
        <v>48.888888888888886</v>
      </c>
      <c r="O124" s="15">
        <f>L124-N124</f>
        <v>391.11111111111109</v>
      </c>
      <c r="P124" s="14">
        <f t="shared" si="36"/>
        <v>356.64845173041891</v>
      </c>
      <c r="Q124" s="1">
        <f>SUM(L124:L126)</f>
        <v>570</v>
      </c>
      <c r="R124" s="15">
        <f>N124+Q125</f>
        <v>178.88888888888889</v>
      </c>
      <c r="S124" s="14">
        <f>N124+H124*O124</f>
        <v>48.888888888888886</v>
      </c>
      <c r="T124" s="1">
        <f t="shared" ref="T124:T126" si="37">IF(F124,(1-H124)*O124/M124*F124/IF(G124,G124,1),0)</f>
        <v>356.64845173041891</v>
      </c>
      <c r="U124" s="1">
        <f>SUM(L124:L126)</f>
        <v>570</v>
      </c>
      <c r="V124" s="1">
        <f>S124+U125</f>
        <v>178.88888888888889</v>
      </c>
    </row>
    <row r="125" spans="1:22">
      <c r="A125" s="33" t="s">
        <v>45</v>
      </c>
      <c r="B125" s="27">
        <v>3</v>
      </c>
      <c r="C125" s="5">
        <v>130</v>
      </c>
      <c r="D125" s="1">
        <v>7</v>
      </c>
      <c r="E125" s="1">
        <v>122</v>
      </c>
      <c r="F125" s="1">
        <v>445</v>
      </c>
      <c r="G125" s="5"/>
      <c r="H125" s="21"/>
      <c r="I125" s="30" t="s">
        <v>429</v>
      </c>
      <c r="J125" s="30"/>
      <c r="K125" s="30"/>
      <c r="L125" s="14">
        <f>C125</f>
        <v>130</v>
      </c>
      <c r="M125" s="1">
        <f>E125</f>
        <v>122</v>
      </c>
      <c r="N125" s="1">
        <f>IF(D125,L125/D125,0)</f>
        <v>18.571428571428573</v>
      </c>
      <c r="O125" s="15">
        <f>L125-N125</f>
        <v>111.42857142857143</v>
      </c>
      <c r="P125" s="14">
        <f t="shared" si="36"/>
        <v>406.44028103044496</v>
      </c>
      <c r="Q125" s="1">
        <f>SUM(L125:L126)</f>
        <v>130</v>
      </c>
      <c r="R125" s="15">
        <f>N125+Q126</f>
        <v>18.571428571428573</v>
      </c>
      <c r="S125" s="14">
        <f>N125+H125*O125</f>
        <v>18.571428571428573</v>
      </c>
      <c r="T125" s="1">
        <f t="shared" si="37"/>
        <v>406.44028103044496</v>
      </c>
      <c r="U125" s="1">
        <f>SUM(L125:L126)</f>
        <v>130</v>
      </c>
      <c r="V125" s="1">
        <f>S125+U126</f>
        <v>18.571428571428573</v>
      </c>
    </row>
    <row r="126" spans="1:22" ht="15" thickBot="1">
      <c r="A126" s="40"/>
      <c r="B126" s="28">
        <v>4</v>
      </c>
      <c r="C126" s="6"/>
      <c r="D126" s="7"/>
      <c r="E126" s="7"/>
      <c r="F126" s="7"/>
      <c r="G126" s="22"/>
      <c r="H126" s="23"/>
      <c r="I126" s="24"/>
      <c r="J126" s="24"/>
      <c r="K126" s="24"/>
      <c r="L126" s="16">
        <f>C126</f>
        <v>0</v>
      </c>
      <c r="M126" s="17">
        <f>E126</f>
        <v>0</v>
      </c>
      <c r="N126" s="17">
        <f>IF(D126,L126/D126,0)</f>
        <v>0</v>
      </c>
      <c r="O126" s="18">
        <f>L126-N126</f>
        <v>0</v>
      </c>
      <c r="P126" s="14">
        <f t="shared" si="36"/>
        <v>0</v>
      </c>
      <c r="Q126" s="17">
        <f>SUM(L126:L126)</f>
        <v>0</v>
      </c>
      <c r="R126" s="18">
        <f>N126</f>
        <v>0</v>
      </c>
      <c r="S126" s="16">
        <f>N126+H126*O126</f>
        <v>0</v>
      </c>
      <c r="T126" s="17">
        <f t="shared" si="37"/>
        <v>0</v>
      </c>
      <c r="U126" s="17">
        <f>SUM(L126:L126)</f>
        <v>0</v>
      </c>
      <c r="V126" s="17">
        <f>S126</f>
        <v>0</v>
      </c>
    </row>
    <row r="127" spans="1:22" ht="15" thickBot="1">
      <c r="A127" s="47"/>
      <c r="B127" s="26" t="s">
        <v>38</v>
      </c>
      <c r="C127" s="1" t="s">
        <v>4</v>
      </c>
      <c r="D127" s="1" t="s">
        <v>28</v>
      </c>
      <c r="E127" s="1" t="s">
        <v>265</v>
      </c>
      <c r="F127" s="69" t="s">
        <v>40</v>
      </c>
      <c r="G127" s="1" t="s">
        <v>29</v>
      </c>
      <c r="H127" s="1" t="s">
        <v>23</v>
      </c>
      <c r="I127" s="12" t="s">
        <v>24</v>
      </c>
      <c r="J127" s="12" t="s">
        <v>25</v>
      </c>
      <c r="K127" s="11" t="s">
        <v>19</v>
      </c>
      <c r="L127" s="12" t="s">
        <v>26</v>
      </c>
      <c r="M127" s="12" t="s">
        <v>20</v>
      </c>
      <c r="N127" s="12" t="s">
        <v>21</v>
      </c>
      <c r="O127" s="12" t="s">
        <v>22</v>
      </c>
      <c r="P127" s="13" t="s">
        <v>27</v>
      </c>
      <c r="Q127" s="85" t="s">
        <v>42</v>
      </c>
      <c r="R127" s="85"/>
      <c r="S127" s="85"/>
      <c r="T127" s="31" t="s">
        <v>50</v>
      </c>
      <c r="U127" s="35" t="s">
        <v>47</v>
      </c>
      <c r="V127" s="36" t="s">
        <v>264</v>
      </c>
    </row>
    <row r="128" spans="1:22">
      <c r="A128" s="47"/>
      <c r="B128" s="27" t="s">
        <v>30</v>
      </c>
      <c r="C128" s="8"/>
      <c r="D128" s="1" t="str">
        <f>IF(C128,C128+Q122,"")</f>
        <v/>
      </c>
      <c r="E128" s="72" t="str">
        <f>IF(C128,C128/D128,"")</f>
        <v/>
      </c>
      <c r="F128" s="14" t="str">
        <f>IF(AND(C128&lt;&gt;"",N120&lt;&gt;""),(M122/F122*E120+M123/F123*D120)/(C128+Q122),"")</f>
        <v/>
      </c>
      <c r="G128" s="1" t="str">
        <f>IF(C128,IF(AND(F122&lt;&gt;0,C120&lt;&gt;0),M123,M123/F123*D120)/(C128+Q123),"")</f>
        <v/>
      </c>
      <c r="H128" s="1" t="str">
        <f>IF(C128,(M124)/(C128+Q124),"")</f>
        <v/>
      </c>
      <c r="I128" s="1" t="str">
        <f>IF(C128,(M125)/(C128+Q125),"")</f>
        <v/>
      </c>
      <c r="J128" s="1" t="str">
        <f>IF(C128,(M126)/(C128+Q126),"")</f>
        <v/>
      </c>
      <c r="K128" s="14" t="str">
        <f>IF(AND(C128&lt;&gt;"",N120&lt;&gt;""),9.8*N120*LN((C128+Q122)/(C128+R122)),"")</f>
        <v/>
      </c>
      <c r="L128" s="1" t="str">
        <f>IF(C128,9.8*F123*LN((C128+Q123)/(C128+R123)),"")</f>
        <v/>
      </c>
      <c r="M128" s="1" t="str">
        <f>IF(C128,9.8*F124*LN((C128+Q124)/(C128+R124)),"")</f>
        <v/>
      </c>
      <c r="N128" s="1" t="str">
        <f>IF(C128,9.8*F125*LN((C128+Q125)/(C128+R125)),"")</f>
        <v/>
      </c>
      <c r="O128" s="1" t="str">
        <f>IF(C128,9.8*F126*LN((C128+Q126)/(C128+R126)),"")</f>
        <v/>
      </c>
      <c r="P128" s="15" t="str">
        <f>IF(C128,SUM(K128:O128),"")</f>
        <v/>
      </c>
      <c r="Q128" s="1"/>
      <c r="R128" s="1"/>
      <c r="S128" s="1"/>
      <c r="T128" s="32" t="str">
        <f>IF(OR(F128&lt;1,AND(F128="",G128&lt;1)),"起飞推重比不得小于0，空天飞机除外","")</f>
        <v/>
      </c>
      <c r="U128" s="1"/>
      <c r="V128" s="1"/>
    </row>
    <row r="129" spans="1:22">
      <c r="A129" s="33" t="s">
        <v>47</v>
      </c>
      <c r="B129" s="27" t="s">
        <v>31</v>
      </c>
      <c r="C129" s="9"/>
      <c r="D129" s="1" t="str">
        <f>IF(C129,C129+Q122,"")</f>
        <v/>
      </c>
      <c r="E129" s="72" t="str">
        <f t="shared" ref="E129:E131" si="38">IF(C129,C129/D129,"")</f>
        <v/>
      </c>
      <c r="F129" s="14" t="str">
        <f>IF(AND(C129&lt;&gt;"",N120&lt;&gt;""),(M122/F122*E120+M123/F123*D120)/(C129+Q122),"")</f>
        <v/>
      </c>
      <c r="G129" s="1" t="str">
        <f>IF(C129,IF(AND(F122&lt;&gt;0,C120&lt;&gt;0),M123,M123/F123*D120)/(C129+Q123),"")</f>
        <v/>
      </c>
      <c r="H129" s="1" t="str">
        <f>IF(C129,(M124)/(C129+Q124),"")</f>
        <v/>
      </c>
      <c r="I129" s="1" t="str">
        <f>IF(C129,(M125)/(C129+Q125),"")</f>
        <v/>
      </c>
      <c r="J129" s="1" t="str">
        <f>IF(C129,(M126)/(C129+Q126),"")</f>
        <v/>
      </c>
      <c r="K129" s="14" t="str">
        <f>IF(AND(C129&lt;&gt;"",N120&lt;&gt;""),9.8*N120*LN((C129+Q122)/(C129+R122)),"")</f>
        <v/>
      </c>
      <c r="L129" s="1" t="str">
        <f>IF(C129,9.8*F123*LN((C129+Q123)/(C129+R123)),"")</f>
        <v/>
      </c>
      <c r="M129" s="1" t="str">
        <f>IF(C129,9.8*F124*LN((C129+Q124)/(C129+R124)),"")</f>
        <v/>
      </c>
      <c r="N129" s="1" t="str">
        <f>IF(C129,9.8*F125*LN((C129+Q125)/(C129+R125)),"")</f>
        <v/>
      </c>
      <c r="O129" s="1" t="str">
        <f>IF(C129,9.8*F126*LN((C129+Q126)/(C129+R126)),"")</f>
        <v/>
      </c>
      <c r="P129" s="15" t="str">
        <f>IF(C129,SUM(K129:O129),"")</f>
        <v/>
      </c>
      <c r="Q129" s="1"/>
      <c r="R129" s="1"/>
      <c r="S129" s="1"/>
      <c r="T129" s="32" t="str">
        <f t="shared" ref="T129:T131" si="39">IF(OR(F129&lt;1,AND(F129="",G129&lt;1)),"起飞推重比不得小于0，空天飞机除外","")</f>
        <v/>
      </c>
      <c r="U129" s="1"/>
      <c r="V129" s="1"/>
    </row>
    <row r="130" spans="1:22">
      <c r="A130" s="40"/>
      <c r="B130" s="27" t="s">
        <v>36</v>
      </c>
      <c r="C130" s="9">
        <v>45</v>
      </c>
      <c r="D130" s="1">
        <f>IF(C130,C130+Q122,"")</f>
        <v>2615</v>
      </c>
      <c r="E130" s="72">
        <f t="shared" si="38"/>
        <v>1.7208413001912046E-2</v>
      </c>
      <c r="F130" s="14" t="str">
        <f>IF(AND(C130&lt;&gt;"",N120&lt;&gt;""),(M122/F122*E120+M123/F123*D120)/(C130+Q122),"")</f>
        <v/>
      </c>
      <c r="G130" s="1">
        <f>IF(C130,IF(AND(F122&lt;&gt;0,C120&lt;&gt;0),M123,M123/F123*D120)/(C130+Q123),"")</f>
        <v>1.2630092660685395</v>
      </c>
      <c r="H130" s="1">
        <f>IF(C130,(M124)/(C130+Q124),"")</f>
        <v>0.79349593495934956</v>
      </c>
      <c r="I130" s="1">
        <f>IF(C130,(M125)/(C130+Q125),"")</f>
        <v>0.69714285714285718</v>
      </c>
      <c r="J130" s="1">
        <f>IF(C130,(M126)/(C130+Q126),"")</f>
        <v>0</v>
      </c>
      <c r="K130" s="14" t="str">
        <f>IF(AND(C130&lt;&gt;"",N120&lt;&gt;""),9.8*N120*LN((C130+Q122)/(C130+R122)),"")</f>
        <v/>
      </c>
      <c r="L130" s="1">
        <f>IF(C130,9.8*F123*LN((C130+Q123)/(C130+R123)),"")</f>
        <v>4181.4717059523964</v>
      </c>
      <c r="M130" s="1">
        <f>IF(C130,9.8*F124*LN((C130+Q124)/(C130+R124)),"")</f>
        <v>4406.670008892881</v>
      </c>
      <c r="N130" s="1">
        <f>IF(C130,9.8*F125*LN((C130+Q125)/(C130+R125)),"")</f>
        <v>4416.0438477836933</v>
      </c>
      <c r="O130" s="1">
        <f>IF(C130,9.8*F126*LN((C130+Q126)/(C130+R126)),"")</f>
        <v>0</v>
      </c>
      <c r="P130" s="15">
        <f>IF(C130,SUM(K130:O130),"")</f>
        <v>13004.185562628973</v>
      </c>
      <c r="Q130" s="1"/>
      <c r="R130" s="1"/>
      <c r="S130" s="1"/>
      <c r="T130" s="32" t="str">
        <f t="shared" si="39"/>
        <v/>
      </c>
      <c r="U130" s="1"/>
      <c r="V130" s="1"/>
    </row>
    <row r="131" spans="1:22" ht="15" thickBot="1">
      <c r="A131" s="47"/>
      <c r="B131" s="28" t="s">
        <v>5</v>
      </c>
      <c r="C131" s="10"/>
      <c r="D131" s="1" t="str">
        <f>IF(C131,C131+Q122,"")</f>
        <v/>
      </c>
      <c r="E131" s="72" t="str">
        <f t="shared" si="38"/>
        <v/>
      </c>
      <c r="F131" s="14" t="str">
        <f>IF(AND(C131&lt;&gt;"",N120&lt;&gt;""),(M122/F122*E120+M123/F123*D120)/(C131+Q122),"")</f>
        <v/>
      </c>
      <c r="G131" s="1" t="str">
        <f>IF(C131,IF(AND(F122&lt;&gt;0,C120&lt;&gt;0),M123,M123/F123*D120)/(C131+Q123),"")</f>
        <v/>
      </c>
      <c r="H131" s="1" t="str">
        <f>IF(C131,(M124)/(C131+Q124),"")</f>
        <v/>
      </c>
      <c r="I131" s="1" t="str">
        <f>IF(C131,(M125)/(C131+Q125),"")</f>
        <v/>
      </c>
      <c r="J131" s="1" t="str">
        <f>IF(C131,(M126)/(C131+Q126),"")</f>
        <v/>
      </c>
      <c r="K131" s="14" t="str">
        <f>IF(AND(C131&lt;&gt;"",N120&lt;&gt;""),9.8*N120*LN((C131+Q122)/(C131+R122)),"")</f>
        <v/>
      </c>
      <c r="L131" s="1" t="str">
        <f>IF(C131,9.8*F123*LN((C131+Q123)/(C131+R123)),"")</f>
        <v/>
      </c>
      <c r="M131" s="1" t="str">
        <f>IF(C131,9.8*F124*LN((C131+Q124)/(C131+R124)),"")</f>
        <v/>
      </c>
      <c r="N131" s="1" t="str">
        <f>IF(C131,9.8*F125*LN((C131+Q125)/(C131+R125)),"")</f>
        <v/>
      </c>
      <c r="O131" s="1" t="str">
        <f>IF(C131,9.8*F126*LN((C131+Q126)/(C131+R126)),"")</f>
        <v/>
      </c>
      <c r="P131" s="15" t="str">
        <f>IF(C131,SUM(K131:O131),"")</f>
        <v/>
      </c>
      <c r="Q131" s="17"/>
      <c r="R131" s="17"/>
      <c r="S131" s="17"/>
      <c r="T131" s="32" t="str">
        <f t="shared" si="39"/>
        <v/>
      </c>
      <c r="U131" s="1"/>
      <c r="V131" s="1"/>
    </row>
    <row r="132" spans="1:22" ht="15" thickBot="1">
      <c r="A132" s="33" t="s">
        <v>45</v>
      </c>
      <c r="B132" s="26" t="s">
        <v>37</v>
      </c>
      <c r="C132" s="1" t="s">
        <v>54</v>
      </c>
      <c r="D132" s="12" t="s">
        <v>28</v>
      </c>
      <c r="E132" s="12" t="s">
        <v>266</v>
      </c>
      <c r="F132" s="11" t="s">
        <v>40</v>
      </c>
      <c r="G132" s="12" t="s">
        <v>29</v>
      </c>
      <c r="H132" s="12" t="s">
        <v>23</v>
      </c>
      <c r="I132" s="12" t="s">
        <v>24</v>
      </c>
      <c r="J132" s="12" t="s">
        <v>25</v>
      </c>
      <c r="K132" s="11" t="s">
        <v>19</v>
      </c>
      <c r="L132" s="12" t="s">
        <v>26</v>
      </c>
      <c r="M132" s="12" t="s">
        <v>20</v>
      </c>
      <c r="N132" s="12" t="s">
        <v>21</v>
      </c>
      <c r="O132" s="12" t="s">
        <v>22</v>
      </c>
      <c r="P132" s="13" t="s">
        <v>27</v>
      </c>
      <c r="Q132" s="85" t="s">
        <v>42</v>
      </c>
      <c r="R132" s="85"/>
      <c r="S132" s="85"/>
      <c r="T132" s="12" t="s">
        <v>51</v>
      </c>
      <c r="U132" s="37" t="s">
        <v>45</v>
      </c>
      <c r="V132" s="38" t="s">
        <v>48</v>
      </c>
    </row>
    <row r="133" spans="1:22">
      <c r="A133" s="40"/>
      <c r="B133" s="27" t="s">
        <v>30</v>
      </c>
      <c r="C133" s="8"/>
      <c r="D133" s="1" t="str">
        <f>IF(C133,C133+Q122,"")</f>
        <v/>
      </c>
      <c r="E133" s="72" t="str">
        <f>IF(C133,C133/D133,"")</f>
        <v/>
      </c>
      <c r="F133" s="14" t="str">
        <f>IF(AND(C133&lt;&gt;"",N120&lt;&gt;""),(M122/F122*E120+M123/F123*D120)/(C133+U122),"")</f>
        <v/>
      </c>
      <c r="G133" s="1" t="str">
        <f>IF(C133,IF(AND(F122&lt;&gt;0,C120&lt;&gt;0),M123,M123/F123*D120)/(C133+U123),"")</f>
        <v/>
      </c>
      <c r="H133" s="1" t="str">
        <f>IF(C133,(M124)/(C133+U124),"")</f>
        <v/>
      </c>
      <c r="I133" s="1" t="str">
        <f>IF(C133,(M125)/(C133+U125),"")</f>
        <v/>
      </c>
      <c r="J133" s="1" t="str">
        <f>IF(C133,(M126)/(C133+U126),"")</f>
        <v/>
      </c>
      <c r="K133" s="14" t="str">
        <f>IF(AND(C133&lt;&gt;"",N120&lt;&gt;""),9.8*N120*LN((C133+U122)/(C133+V122)),"")</f>
        <v/>
      </c>
      <c r="L133" s="1" t="str">
        <f>IF(C133,9.8*F123*LN((C133+U123)/(C133+V123)),"")</f>
        <v/>
      </c>
      <c r="M133" s="1" t="str">
        <f>IF(C133,9.8*F124*LN((C133+U124)/(C133+V124)),"")</f>
        <v/>
      </c>
      <c r="N133" s="1" t="str">
        <f>IF(C133,9.8*F125*LN((C133+U125)/(C133+V125)),"")</f>
        <v/>
      </c>
      <c r="O133" s="1" t="str">
        <f>IF(C133,9.8*F126*LN((C133+U126)/(C133+V126)),"")</f>
        <v/>
      </c>
      <c r="P133" s="15" t="str">
        <f>IF(C133,SUM(K133:O133),"")</f>
        <v/>
      </c>
      <c r="Q133" s="1"/>
      <c r="R133" s="1"/>
      <c r="S133" s="1"/>
      <c r="T133" s="32" t="str">
        <f>IF(OR(F133&lt;1,AND(F133="",G133&lt;1)),"起飞推重比不得小于0，空天飞机除外","")</f>
        <v/>
      </c>
      <c r="U133" s="1"/>
      <c r="V133" s="1"/>
    </row>
    <row r="134" spans="1:22">
      <c r="A134" s="47"/>
      <c r="B134" s="27" t="s">
        <v>31</v>
      </c>
      <c r="C134" s="9"/>
      <c r="D134" s="1" t="str">
        <f>IF(C134,C134+Q122,"")</f>
        <v/>
      </c>
      <c r="E134" s="72" t="str">
        <f t="shared" ref="E134:E136" si="40">IF(C134,C134/D134,"")</f>
        <v/>
      </c>
      <c r="F134" s="14" t="str">
        <f>IF(AND(C134&lt;&gt;"",N120&lt;&gt;""),(M122/F122*E120+M123/F123*D120)/(C134+U122),"")</f>
        <v/>
      </c>
      <c r="G134" s="1" t="str">
        <f>IF(C134,IF(AND(F122&lt;&gt;0,C120&lt;&gt;0),M123,M123/F123*D120)/(C134+U123),"")</f>
        <v/>
      </c>
      <c r="H134" s="1" t="str">
        <f>IF(C134,(M124)/(C134+U124),"")</f>
        <v/>
      </c>
      <c r="I134" s="1" t="str">
        <f>IF(C134,(M125)/(C134+U125),"")</f>
        <v/>
      </c>
      <c r="J134" s="1" t="str">
        <f>IF(C134,(M126)/(C134+U126),"")</f>
        <v/>
      </c>
      <c r="K134" s="14" t="str">
        <f>IF(AND(C134&lt;&gt;"",N120&lt;&gt;""),9.8*N120*LN((C134+U122)/(C134+V122)),"")</f>
        <v/>
      </c>
      <c r="L134" s="1" t="str">
        <f>IF(C134,9.8*F123*LN((C134+U123)/(C134+V123)),"")</f>
        <v/>
      </c>
      <c r="M134" s="1" t="str">
        <f>IF(C134,9.8*F124*LN((C134+U124)/(C134+V124)),"")</f>
        <v/>
      </c>
      <c r="N134" s="1" t="str">
        <f>IF(C134,9.8*F125*LN((C134+U125)/(C134+V125)),"")</f>
        <v/>
      </c>
      <c r="O134" s="1" t="str">
        <f>IF(C134,9.8*F126*LN((C134+U126)/(C134+V126)),"")</f>
        <v/>
      </c>
      <c r="P134" s="15" t="str">
        <f>IF(C134,SUM(K134:O134),"")</f>
        <v/>
      </c>
      <c r="Q134" s="1"/>
      <c r="R134" s="1"/>
      <c r="S134" s="1"/>
      <c r="T134" s="32" t="str">
        <f t="shared" ref="T134:T136" si="41">IF(OR(F134&lt;1,AND(F134="",G134&lt;1)),"起飞推重比不得小于0，空天飞机除外","")</f>
        <v/>
      </c>
      <c r="U134" s="1"/>
      <c r="V134" s="1"/>
    </row>
    <row r="135" spans="1:22">
      <c r="A135" s="47"/>
      <c r="B135" s="27" t="s">
        <v>32</v>
      </c>
      <c r="C135" s="9">
        <v>34</v>
      </c>
      <c r="D135" s="1">
        <f>IF(C135,C135+Q122,"")</f>
        <v>2604</v>
      </c>
      <c r="E135" s="72">
        <f t="shared" si="40"/>
        <v>1.3056835637480798E-2</v>
      </c>
      <c r="F135" s="14" t="str">
        <f>IF(AND(C135&lt;&gt;"",N120&lt;&gt;""),(M122/F122*E120+M123/F123*D120)/(C135+U122),"")</f>
        <v/>
      </c>
      <c r="G135" s="1">
        <f>IF(C135,IF(AND(F122&lt;&gt;0,C120&lt;&gt;0),M123,M123/F123*D120)/(C135+U123),"")</f>
        <v>1.2683445586671394</v>
      </c>
      <c r="H135" s="1">
        <f>IF(C135,(M124)/(C135+U124),"")</f>
        <v>0.80794701986754969</v>
      </c>
      <c r="I135" s="1">
        <f>IF(C135,(M125)/(C135+U125),"")</f>
        <v>0.74390243902439024</v>
      </c>
      <c r="J135" s="1">
        <f>IF(C135,(M126)/(C135+U126),"")</f>
        <v>0</v>
      </c>
      <c r="K135" s="14" t="str">
        <f>IF(AND(C135&lt;&gt;"",N120&lt;&gt;""),9.8*N120*LN((C135+U122)/(C135+V122)),"")</f>
        <v/>
      </c>
      <c r="L135" s="1">
        <f>IF(C135,9.8*F123*LN((C135+U123)/(C135+V123)),"")</f>
        <v>3479.339419474436</v>
      </c>
      <c r="M135" s="1">
        <f>IF(C135,9.8*F124*LN((C135+U124)/(C135+V124)),"")</f>
        <v>4547.6674448041367</v>
      </c>
      <c r="N135" s="1">
        <f>IF(C135,9.8*F125*LN((C135+U125)/(C135+V125)),"")</f>
        <v>4961.4819584168436</v>
      </c>
      <c r="O135" s="1">
        <f>IF(C135,9.8*F126*LN((C135+U126)/(C135+V126)),"")</f>
        <v>0</v>
      </c>
      <c r="P135" s="15">
        <f>IF(C135,SUM(K135:O135),"")</f>
        <v>12988.488822695417</v>
      </c>
      <c r="Q135" s="1"/>
      <c r="R135" s="1"/>
      <c r="S135" s="1"/>
      <c r="T135" s="32" t="str">
        <f t="shared" si="41"/>
        <v/>
      </c>
      <c r="U135" s="1"/>
      <c r="V135" s="1"/>
    </row>
    <row r="136" spans="1:22" ht="15" thickBot="1">
      <c r="A136" s="48" t="s">
        <v>46</v>
      </c>
      <c r="B136" s="49" t="s">
        <v>33</v>
      </c>
      <c r="C136" s="50"/>
      <c r="D136" s="25" t="str">
        <f>IF(C136,C136+Q122,"")</f>
        <v/>
      </c>
      <c r="E136" s="73" t="str">
        <f t="shared" si="40"/>
        <v/>
      </c>
      <c r="F136" s="70" t="str">
        <f>IF(AND(C136&lt;&gt;"",N120&lt;&gt;""),(M122/F122*E120+M123/F123*D120)/(C136+U122),"")</f>
        <v/>
      </c>
      <c r="G136" s="25" t="str">
        <f>IF(C136,IF(AND(F122&lt;&gt;0,C120&lt;&gt;0),M123,M123/F123*D120)/(C136+U123),"")</f>
        <v/>
      </c>
      <c r="H136" s="25" t="str">
        <f>IF(C136,(M124)/(C136+U124),"")</f>
        <v/>
      </c>
      <c r="I136" s="25" t="str">
        <f>IF(C136,(M125)/(C136+U125),"")</f>
        <v/>
      </c>
      <c r="J136" s="25" t="str">
        <f>IF(C136,(M126)/(C136+U126),"")</f>
        <v/>
      </c>
      <c r="K136" s="70" t="str">
        <f>IF(AND(C136&lt;&gt;"",N120&lt;&gt;""),9.8*N120*LN((C136+U122)/(C136+V122)),"")</f>
        <v/>
      </c>
      <c r="L136" s="25" t="str">
        <f>IF(C136,9.8*F123*LN((C136+U123)/(C136+V123)),"")</f>
        <v/>
      </c>
      <c r="M136" s="25" t="str">
        <f>IF(C136,9.8*F124*LN((C136+U124)/(C136+V124)),"")</f>
        <v/>
      </c>
      <c r="N136" s="25" t="str">
        <f>IF(C136,9.8*F125*LN((C136+U125)/(C136+V125)),"")</f>
        <v/>
      </c>
      <c r="O136" s="25" t="str">
        <f>IF(C136,9.8*F126*LN((C136+U126)/(C136+V126)),"")</f>
        <v/>
      </c>
      <c r="P136" s="71" t="str">
        <f>IF(C136,SUM(K136:O136),"")</f>
        <v/>
      </c>
      <c r="Q136" s="25"/>
      <c r="R136" s="25"/>
      <c r="S136" s="25"/>
      <c r="T136" s="51" t="str">
        <f t="shared" si="41"/>
        <v/>
      </c>
      <c r="U136" s="25"/>
      <c r="V136" s="25"/>
    </row>
    <row r="137" spans="1:22" ht="15" thickBot="1"/>
    <row r="138" spans="1:22" ht="15" thickBot="1">
      <c r="A138" s="52" t="s">
        <v>492</v>
      </c>
      <c r="B138" s="52"/>
      <c r="C138" s="29" t="s">
        <v>0</v>
      </c>
      <c r="D138" s="90" t="s">
        <v>41</v>
      </c>
      <c r="E138" s="90"/>
      <c r="F138" s="43"/>
      <c r="G138" s="43"/>
      <c r="H138" s="43"/>
      <c r="I138" s="86" t="s">
        <v>42</v>
      </c>
      <c r="J138" s="86"/>
      <c r="K138" s="86"/>
      <c r="L138" s="54" t="s">
        <v>70</v>
      </c>
      <c r="M138" s="86" t="s">
        <v>71</v>
      </c>
      <c r="N138" s="86"/>
      <c r="O138" s="87"/>
      <c r="P138" s="29" t="s">
        <v>49</v>
      </c>
      <c r="Q138" s="34" t="str">
        <f>IF(OR(P142&lt;P141,T142&lt;T141),"芯级燃烧时间不得小于助推燃烧时间！","")</f>
        <v/>
      </c>
      <c r="R138" s="44"/>
      <c r="S138" s="45"/>
      <c r="T138" s="29"/>
      <c r="U138" s="46" t="s">
        <v>45</v>
      </c>
      <c r="V138" s="46" t="s">
        <v>48</v>
      </c>
    </row>
    <row r="139" spans="1:22" ht="15" thickBot="1">
      <c r="A139" s="40" t="s">
        <v>493</v>
      </c>
      <c r="B139" s="39"/>
      <c r="C139" s="2">
        <v>0</v>
      </c>
      <c r="D139" s="2">
        <v>312</v>
      </c>
      <c r="E139" s="2">
        <v>0</v>
      </c>
      <c r="F139" s="41"/>
      <c r="G139" s="42"/>
      <c r="H139" s="42"/>
      <c r="I139" s="24" t="s">
        <v>542</v>
      </c>
      <c r="J139" s="24"/>
      <c r="K139" s="24"/>
      <c r="L139" s="55">
        <f>IFERROR(IF(AND(F141&lt;&gt;0,C139&lt;&gt;0),M141/F141*E139+M142/F142*D139,M142/F142*D139),0)</f>
        <v>3302.7692307692309</v>
      </c>
      <c r="M139" s="53" t="s">
        <v>45</v>
      </c>
      <c r="N139" s="17" t="str">
        <f>IF(AND(F141&lt;&gt;0,C139&lt;&gt;0),(M141+M142)/(M141/F141+M142/F142),"")</f>
        <v/>
      </c>
      <c r="O139" s="56" t="s">
        <v>46</v>
      </c>
      <c r="P139" s="89" t="s">
        <v>17</v>
      </c>
      <c r="Q139" s="89"/>
      <c r="R139" s="91"/>
      <c r="S139" s="88" t="s">
        <v>18</v>
      </c>
      <c r="T139" s="89"/>
      <c r="U139" s="89"/>
      <c r="V139" s="89"/>
    </row>
    <row r="140" spans="1:22" ht="15" thickBot="1">
      <c r="A140" s="33" t="s">
        <v>45</v>
      </c>
      <c r="B140" s="26" t="s">
        <v>39</v>
      </c>
      <c r="C140" s="1" t="s">
        <v>60</v>
      </c>
      <c r="D140" s="1" t="s">
        <v>61</v>
      </c>
      <c r="E140" s="1" t="s">
        <v>62</v>
      </c>
      <c r="F140" s="1" t="s">
        <v>63</v>
      </c>
      <c r="G140" s="1" t="s">
        <v>64</v>
      </c>
      <c r="H140" s="1" t="s">
        <v>65</v>
      </c>
      <c r="I140" s="30" t="s">
        <v>543</v>
      </c>
      <c r="J140" s="24"/>
      <c r="K140" s="24"/>
      <c r="L140" s="11" t="s">
        <v>6</v>
      </c>
      <c r="M140" s="12" t="s">
        <v>69</v>
      </c>
      <c r="N140" s="12" t="s">
        <v>15</v>
      </c>
      <c r="O140" s="13" t="s">
        <v>14</v>
      </c>
      <c r="P140" s="14" t="s">
        <v>12</v>
      </c>
      <c r="Q140" s="1" t="s">
        <v>10</v>
      </c>
      <c r="R140" s="15" t="s">
        <v>11</v>
      </c>
      <c r="S140" s="14" t="s">
        <v>13</v>
      </c>
      <c r="T140" s="1" t="s">
        <v>16</v>
      </c>
      <c r="U140" s="1" t="s">
        <v>10</v>
      </c>
      <c r="V140" s="1" t="s">
        <v>11</v>
      </c>
    </row>
    <row r="141" spans="1:22">
      <c r="A141" s="40"/>
      <c r="B141" s="27" t="s">
        <v>3</v>
      </c>
      <c r="C141" s="3"/>
      <c r="D141" s="4"/>
      <c r="E141" s="4"/>
      <c r="F141" s="4"/>
      <c r="G141" s="19"/>
      <c r="H141" s="20"/>
      <c r="I141" s="24"/>
      <c r="J141" s="24"/>
      <c r="K141" s="24"/>
      <c r="L141" s="14">
        <f>C141*C139</f>
        <v>0</v>
      </c>
      <c r="M141" s="1">
        <f>E141*C139</f>
        <v>0</v>
      </c>
      <c r="N141" s="1">
        <f>IF(D141,L141/D141,0)</f>
        <v>0</v>
      </c>
      <c r="O141" s="15">
        <f>L141-N141</f>
        <v>0</v>
      </c>
      <c r="P141" s="14">
        <f>IF(AND(F141&lt;&gt;0,C139&lt;&gt;0),O141/M141*F141/IF(G141,G141,1),0)</f>
        <v>0</v>
      </c>
      <c r="Q141" s="1">
        <f>SUM(L141:L145)</f>
        <v>2600</v>
      </c>
      <c r="R141" s="15">
        <f>N141+Q142</f>
        <v>2600</v>
      </c>
      <c r="S141" s="14">
        <f>N141+H141*O141</f>
        <v>0</v>
      </c>
      <c r="T141" s="1">
        <f>IF(AND(F141&lt;&gt;0,C139&lt;&gt;0),(1-H141)*O141/M141*F141/IF(G141,G141,1),0)</f>
        <v>0</v>
      </c>
      <c r="U141" s="1">
        <f>SUM(L141:L145)</f>
        <v>2600</v>
      </c>
      <c r="V141" s="1">
        <f>S141+U142</f>
        <v>2600</v>
      </c>
    </row>
    <row r="142" spans="1:22">
      <c r="A142" s="47"/>
      <c r="B142" s="27">
        <v>1</v>
      </c>
      <c r="C142" s="5">
        <v>2000</v>
      </c>
      <c r="D142" s="1">
        <v>16</v>
      </c>
      <c r="E142" s="1">
        <v>3578</v>
      </c>
      <c r="F142" s="1">
        <v>338</v>
      </c>
      <c r="G142" s="5">
        <v>1</v>
      </c>
      <c r="H142" s="21">
        <v>9.7000000000000003E-2</v>
      </c>
      <c r="I142" s="30" t="s">
        <v>517</v>
      </c>
      <c r="J142" s="30"/>
      <c r="K142" s="30"/>
      <c r="L142" s="14">
        <f>C142</f>
        <v>2000</v>
      </c>
      <c r="M142" s="1">
        <f>E142</f>
        <v>3578</v>
      </c>
      <c r="N142" s="1">
        <f>IF(D142,L142/D142,0)</f>
        <v>125</v>
      </c>
      <c r="O142" s="15">
        <f>L142-N142</f>
        <v>1875</v>
      </c>
      <c r="P142" s="14">
        <f t="shared" ref="P142:P145" si="42">IF(F142,O142/M142*F142/IF(G142,G142,1),0)</f>
        <v>177.12409167132478</v>
      </c>
      <c r="Q142" s="1">
        <f>IF(F142,SUM(L142:L145)-P141*M142/F142*IF(G142,G142,1),0)</f>
        <v>2600</v>
      </c>
      <c r="R142" s="15">
        <f>N142+Q143</f>
        <v>725</v>
      </c>
      <c r="S142" s="14">
        <f>N142+H142*O142</f>
        <v>306.875</v>
      </c>
      <c r="T142" s="1">
        <f>IF(F142,(1-H142)*O142/M142*F142/IF(G142,G142,1),0)</f>
        <v>159.94305477920628</v>
      </c>
      <c r="U142" s="1">
        <f>IF(F142,SUM(L142:L145)-T141*M142/F142*IF(G142,G142,1),0)</f>
        <v>2600</v>
      </c>
      <c r="V142" s="1">
        <f>S142+U143</f>
        <v>906.875</v>
      </c>
    </row>
    <row r="143" spans="1:22">
      <c r="A143" s="47"/>
      <c r="B143" s="27">
        <v>2</v>
      </c>
      <c r="C143" s="5">
        <v>480</v>
      </c>
      <c r="D143" s="1">
        <v>16</v>
      </c>
      <c r="E143" s="1">
        <v>415.2</v>
      </c>
      <c r="F143" s="1">
        <v>353</v>
      </c>
      <c r="G143" s="5"/>
      <c r="H143" s="21"/>
      <c r="I143" s="30" t="s">
        <v>518</v>
      </c>
      <c r="J143" s="30"/>
      <c r="K143" s="30"/>
      <c r="L143" s="14">
        <f>C143</f>
        <v>480</v>
      </c>
      <c r="M143" s="1">
        <f>E143</f>
        <v>415.2</v>
      </c>
      <c r="N143" s="1">
        <f>IF(D143,L143/D143,0)</f>
        <v>30</v>
      </c>
      <c r="O143" s="15">
        <f>L143-N143</f>
        <v>450</v>
      </c>
      <c r="P143" s="14">
        <f t="shared" si="42"/>
        <v>382.58670520231215</v>
      </c>
      <c r="Q143" s="1">
        <f>SUM(L143:L145)</f>
        <v>600</v>
      </c>
      <c r="R143" s="15">
        <f>N143+Q144</f>
        <v>150</v>
      </c>
      <c r="S143" s="14">
        <f>N143+H143*O143</f>
        <v>30</v>
      </c>
      <c r="T143" s="1">
        <f t="shared" ref="T143:T145" si="43">IF(F143,(1-H143)*O143/M143*F143/IF(G143,G143,1),0)</f>
        <v>382.58670520231215</v>
      </c>
      <c r="U143" s="1">
        <f>SUM(L143:L145)</f>
        <v>600</v>
      </c>
      <c r="V143" s="1">
        <f>S143+U144</f>
        <v>150</v>
      </c>
    </row>
    <row r="144" spans="1:22">
      <c r="A144" s="33" t="s">
        <v>45</v>
      </c>
      <c r="B144" s="27">
        <v>3</v>
      </c>
      <c r="C144" s="5">
        <v>120</v>
      </c>
      <c r="D144" s="1">
        <v>7</v>
      </c>
      <c r="E144" s="1">
        <v>122</v>
      </c>
      <c r="F144" s="1">
        <v>445</v>
      </c>
      <c r="G144" s="5"/>
      <c r="H144" s="21"/>
      <c r="I144" s="30" t="s">
        <v>429</v>
      </c>
      <c r="J144" s="30"/>
      <c r="K144" s="30"/>
      <c r="L144" s="14">
        <f>C144</f>
        <v>120</v>
      </c>
      <c r="M144" s="1">
        <f>E144</f>
        <v>122</v>
      </c>
      <c r="N144" s="1">
        <f>IF(D144,L144/D144,0)</f>
        <v>17.142857142857142</v>
      </c>
      <c r="O144" s="15">
        <f>L144-N144</f>
        <v>102.85714285714286</v>
      </c>
      <c r="P144" s="14">
        <f t="shared" si="42"/>
        <v>375.17564402810308</v>
      </c>
      <c r="Q144" s="1">
        <f>SUM(L144:L145)</f>
        <v>120</v>
      </c>
      <c r="R144" s="15">
        <f>N144+Q145</f>
        <v>17.142857142857142</v>
      </c>
      <c r="S144" s="14">
        <f>N144+H144*O144</f>
        <v>17.142857142857142</v>
      </c>
      <c r="T144" s="1">
        <f t="shared" si="43"/>
        <v>375.17564402810308</v>
      </c>
      <c r="U144" s="1">
        <f>SUM(L144:L145)</f>
        <v>120</v>
      </c>
      <c r="V144" s="1">
        <f>S144+U145</f>
        <v>17.142857142857142</v>
      </c>
    </row>
    <row r="145" spans="1:22" ht="15" thickBot="1">
      <c r="A145" s="40"/>
      <c r="B145" s="28">
        <v>4</v>
      </c>
      <c r="C145" s="6"/>
      <c r="D145" s="7"/>
      <c r="E145" s="7"/>
      <c r="F145" s="7"/>
      <c r="G145" s="22"/>
      <c r="H145" s="23"/>
      <c r="I145" s="24"/>
      <c r="J145" s="24"/>
      <c r="K145" s="24"/>
      <c r="L145" s="16">
        <f>C145</f>
        <v>0</v>
      </c>
      <c r="M145" s="17">
        <f>E145</f>
        <v>0</v>
      </c>
      <c r="N145" s="17">
        <f>IF(D145,L145/D145,0)</f>
        <v>0</v>
      </c>
      <c r="O145" s="18">
        <f>L145-N145</f>
        <v>0</v>
      </c>
      <c r="P145" s="14">
        <f t="shared" si="42"/>
        <v>0</v>
      </c>
      <c r="Q145" s="17">
        <f>SUM(L145:L145)</f>
        <v>0</v>
      </c>
      <c r="R145" s="18">
        <f>N145</f>
        <v>0</v>
      </c>
      <c r="S145" s="16">
        <f>N145+H145*O145</f>
        <v>0</v>
      </c>
      <c r="T145" s="17">
        <f t="shared" si="43"/>
        <v>0</v>
      </c>
      <c r="U145" s="17">
        <f>SUM(L145:L145)</f>
        <v>0</v>
      </c>
      <c r="V145" s="17">
        <f>S145</f>
        <v>0</v>
      </c>
    </row>
    <row r="146" spans="1:22" ht="15" thickBot="1">
      <c r="A146" s="47"/>
      <c r="B146" s="26" t="s">
        <v>38</v>
      </c>
      <c r="C146" s="1" t="s">
        <v>4</v>
      </c>
      <c r="D146" s="1" t="s">
        <v>28</v>
      </c>
      <c r="E146" s="1" t="s">
        <v>265</v>
      </c>
      <c r="F146" s="69" t="s">
        <v>40</v>
      </c>
      <c r="G146" s="1" t="s">
        <v>29</v>
      </c>
      <c r="H146" s="1" t="s">
        <v>23</v>
      </c>
      <c r="I146" s="12" t="s">
        <v>24</v>
      </c>
      <c r="J146" s="12" t="s">
        <v>25</v>
      </c>
      <c r="K146" s="11" t="s">
        <v>19</v>
      </c>
      <c r="L146" s="12" t="s">
        <v>26</v>
      </c>
      <c r="M146" s="12" t="s">
        <v>20</v>
      </c>
      <c r="N146" s="12" t="s">
        <v>21</v>
      </c>
      <c r="O146" s="12" t="s">
        <v>22</v>
      </c>
      <c r="P146" s="13" t="s">
        <v>27</v>
      </c>
      <c r="Q146" s="85" t="s">
        <v>42</v>
      </c>
      <c r="R146" s="85"/>
      <c r="S146" s="85"/>
      <c r="T146" s="31" t="s">
        <v>50</v>
      </c>
      <c r="U146" s="35" t="s">
        <v>47</v>
      </c>
      <c r="V146" s="36" t="s">
        <v>264</v>
      </c>
    </row>
    <row r="147" spans="1:22">
      <c r="A147" s="47"/>
      <c r="B147" s="27" t="s">
        <v>30</v>
      </c>
      <c r="C147" s="8"/>
      <c r="D147" s="1" t="str">
        <f>IF(C147,C147+Q141,"")</f>
        <v/>
      </c>
      <c r="E147" s="72" t="str">
        <f>IF(C147,C147/D147,"")</f>
        <v/>
      </c>
      <c r="F147" s="14" t="str">
        <f>IF(AND(C147&lt;&gt;"",N139&lt;&gt;""),(M141/F141*E139+M142/F142*D139)/(C147+Q141),"")</f>
        <v/>
      </c>
      <c r="G147" s="1" t="str">
        <f>IF(C147,IF(AND(F141&lt;&gt;0,C139&lt;&gt;0),M142,M142/F142*D139)/(C147+Q142),"")</f>
        <v/>
      </c>
      <c r="H147" s="1" t="str">
        <f>IF(C147,(M143)/(C147+Q143),"")</f>
        <v/>
      </c>
      <c r="I147" s="1" t="str">
        <f>IF(C147,(M144)/(C147+Q144),"")</f>
        <v/>
      </c>
      <c r="J147" s="1" t="str">
        <f>IF(C147,(M145)/(C147+Q145),"")</f>
        <v/>
      </c>
      <c r="K147" s="14" t="str">
        <f>IF(AND(C147&lt;&gt;"",N139&lt;&gt;""),9.8*N139*LN((C147+Q141)/(C147+R141)),"")</f>
        <v/>
      </c>
      <c r="L147" s="1" t="str">
        <f>IF(C147,9.8*F142*LN((C147+Q142)/(C147+R142)),"")</f>
        <v/>
      </c>
      <c r="M147" s="1" t="str">
        <f>IF(C147,9.8*F143*LN((C147+Q143)/(C147+R143)),"")</f>
        <v/>
      </c>
      <c r="N147" s="1" t="str">
        <f>IF(C147,9.8*F144*LN((C147+Q144)/(C147+R144)),"")</f>
        <v/>
      </c>
      <c r="O147" s="1" t="str">
        <f>IF(C147,9.8*F145*LN((C147+Q145)/(C147+R145)),"")</f>
        <v/>
      </c>
      <c r="P147" s="15" t="str">
        <f>IF(C147,SUM(K147:O147),"")</f>
        <v/>
      </c>
      <c r="Q147" s="1"/>
      <c r="R147" s="1"/>
      <c r="S147" s="1"/>
      <c r="T147" s="32" t="str">
        <f>IF(OR(F147&lt;1,AND(F147="",G147&lt;1)),"起飞推重比不得小于0，空天飞机除外","")</f>
        <v/>
      </c>
      <c r="U147" s="1"/>
      <c r="V147" s="1"/>
    </row>
    <row r="148" spans="1:22">
      <c r="A148" s="33" t="s">
        <v>47</v>
      </c>
      <c r="B148" s="27" t="s">
        <v>31</v>
      </c>
      <c r="C148" s="9"/>
      <c r="D148" s="1" t="str">
        <f>IF(C148,C148+Q141,"")</f>
        <v/>
      </c>
      <c r="E148" s="72" t="str">
        <f t="shared" ref="E148:E150" si="44">IF(C148,C148/D148,"")</f>
        <v/>
      </c>
      <c r="F148" s="14" t="str">
        <f>IF(AND(C148&lt;&gt;"",N139&lt;&gt;""),(M141/F141*E139+M142/F142*D139)/(C148+Q141),"")</f>
        <v/>
      </c>
      <c r="G148" s="1" t="str">
        <f>IF(C148,IF(AND(F141&lt;&gt;0,C139&lt;&gt;0),M142,M142/F142*D139)/(C148+Q142),"")</f>
        <v/>
      </c>
      <c r="H148" s="1" t="str">
        <f>IF(C148,(M143)/(C148+Q143),"")</f>
        <v/>
      </c>
      <c r="I148" s="1" t="str">
        <f>IF(C148,(M144)/(C148+Q144),"")</f>
        <v/>
      </c>
      <c r="J148" s="1" t="str">
        <f>IF(C148,(M145)/(C148+Q145),"")</f>
        <v/>
      </c>
      <c r="K148" s="14" t="str">
        <f>IF(AND(C148&lt;&gt;"",N139&lt;&gt;""),9.8*N139*LN((C148+Q141)/(C148+R141)),"")</f>
        <v/>
      </c>
      <c r="L148" s="1" t="str">
        <f>IF(C148,9.8*F142*LN((C148+Q142)/(C148+R142)),"")</f>
        <v/>
      </c>
      <c r="M148" s="1" t="str">
        <f>IF(C148,9.8*F143*LN((C148+Q143)/(C148+R143)),"")</f>
        <v/>
      </c>
      <c r="N148" s="1" t="str">
        <f>IF(C148,9.8*F144*LN((C148+Q144)/(C148+R144)),"")</f>
        <v/>
      </c>
      <c r="O148" s="1" t="str">
        <f>IF(C148,9.8*F145*LN((C148+Q145)/(C148+R145)),"")</f>
        <v/>
      </c>
      <c r="P148" s="15" t="str">
        <f>IF(C148,SUM(K148:O148),"")</f>
        <v/>
      </c>
      <c r="Q148" s="1"/>
      <c r="R148" s="1"/>
      <c r="S148" s="1"/>
      <c r="T148" s="32" t="str">
        <f t="shared" ref="T148:T150" si="45">IF(OR(F148&lt;1,AND(F148="",G148&lt;1)),"起飞推重比不得小于0，空天飞机除外","")</f>
        <v/>
      </c>
      <c r="U148" s="1"/>
      <c r="V148" s="1"/>
    </row>
    <row r="149" spans="1:22">
      <c r="A149" s="40"/>
      <c r="B149" s="27" t="s">
        <v>36</v>
      </c>
      <c r="C149" s="9">
        <v>37</v>
      </c>
      <c r="D149" s="1">
        <f>IF(C149,C149+Q141,"")</f>
        <v>2637</v>
      </c>
      <c r="E149" s="72">
        <f t="shared" si="44"/>
        <v>1.4031095942358742E-2</v>
      </c>
      <c r="F149" s="14" t="str">
        <f>IF(AND(C149&lt;&gt;"",N139&lt;&gt;""),(M141/F141*E139+M142/F142*D139)/(C149+Q141),"")</f>
        <v/>
      </c>
      <c r="G149" s="1">
        <f>IF(C149,IF(AND(F141&lt;&gt;0,C139&lt;&gt;0),M142,M142/F142*D139)/(C149+Q142),"")</f>
        <v>1.2524722149295529</v>
      </c>
      <c r="H149" s="1">
        <f>IF(C149,(M143)/(C149+Q143),"")</f>
        <v>0.65180533751962322</v>
      </c>
      <c r="I149" s="1">
        <f>IF(C149,(M144)/(C149+Q144),"")</f>
        <v>0.77707006369426757</v>
      </c>
      <c r="J149" s="1">
        <f>IF(C149,(M145)/(C149+Q145),"")</f>
        <v>0</v>
      </c>
      <c r="K149" s="14" t="str">
        <f>IF(AND(C149&lt;&gt;"",N139&lt;&gt;""),9.8*N139*LN((C149+Q141)/(C149+R141)),"")</f>
        <v/>
      </c>
      <c r="L149" s="1">
        <f>IF(C149,9.8*F142*LN((C149+Q142)/(C149+R142)),"")</f>
        <v>4112.1810690201801</v>
      </c>
      <c r="M149" s="1">
        <f>IF(C149,9.8*F143*LN((C149+Q143)/(C149+R143)),"")</f>
        <v>4240.0517973395845</v>
      </c>
      <c r="N149" s="1">
        <f>IF(C149,9.8*F144*LN((C149+Q144)/(C149+R144)),"")</f>
        <v>4642.8067267897313</v>
      </c>
      <c r="O149" s="1">
        <f>IF(C149,9.8*F145*LN((C149+Q145)/(C149+R145)),"")</f>
        <v>0</v>
      </c>
      <c r="P149" s="15">
        <f>IF(C149,SUM(K149:O149),"")</f>
        <v>12995.039593149497</v>
      </c>
      <c r="Q149" s="1"/>
      <c r="R149" s="1"/>
      <c r="S149" s="1"/>
      <c r="T149" s="32" t="str">
        <f t="shared" si="45"/>
        <v/>
      </c>
      <c r="U149" s="1"/>
      <c r="V149" s="1"/>
    </row>
    <row r="150" spans="1:22" ht="15" thickBot="1">
      <c r="A150" s="47"/>
      <c r="B150" s="28" t="s">
        <v>5</v>
      </c>
      <c r="C150" s="10"/>
      <c r="D150" s="1" t="str">
        <f>IF(C150,C150+Q141,"")</f>
        <v/>
      </c>
      <c r="E150" s="72" t="str">
        <f t="shared" si="44"/>
        <v/>
      </c>
      <c r="F150" s="14" t="str">
        <f>IF(AND(C150&lt;&gt;"",N139&lt;&gt;""),(M141/F141*E139+M142/F142*D139)/(C150+Q141),"")</f>
        <v/>
      </c>
      <c r="G150" s="1" t="str">
        <f>IF(C150,IF(AND(F141&lt;&gt;0,C139&lt;&gt;0),M142,M142/F142*D139)/(C150+Q142),"")</f>
        <v/>
      </c>
      <c r="H150" s="1" t="str">
        <f>IF(C150,(M143)/(C150+Q143),"")</f>
        <v/>
      </c>
      <c r="I150" s="1" t="str">
        <f>IF(C150,(M144)/(C150+Q144),"")</f>
        <v/>
      </c>
      <c r="J150" s="1" t="str">
        <f>IF(C150,(M145)/(C150+Q145),"")</f>
        <v/>
      </c>
      <c r="K150" s="14" t="str">
        <f>IF(AND(C150&lt;&gt;"",N139&lt;&gt;""),9.8*N139*LN((C150+Q141)/(C150+R141)),"")</f>
        <v/>
      </c>
      <c r="L150" s="1" t="str">
        <f>IF(C150,9.8*F142*LN((C150+Q142)/(C150+R142)),"")</f>
        <v/>
      </c>
      <c r="M150" s="1" t="str">
        <f>IF(C150,9.8*F143*LN((C150+Q143)/(C150+R143)),"")</f>
        <v/>
      </c>
      <c r="N150" s="1" t="str">
        <f>IF(C150,9.8*F144*LN((C150+Q144)/(C150+R144)),"")</f>
        <v/>
      </c>
      <c r="O150" s="1" t="str">
        <f>IF(C150,9.8*F145*LN((C150+Q145)/(C150+R145)),"")</f>
        <v/>
      </c>
      <c r="P150" s="15" t="str">
        <f>IF(C150,SUM(K150:O150),"")</f>
        <v/>
      </c>
      <c r="Q150" s="17"/>
      <c r="R150" s="17"/>
      <c r="S150" s="17"/>
      <c r="T150" s="32" t="str">
        <f t="shared" si="45"/>
        <v/>
      </c>
      <c r="U150" s="1"/>
      <c r="V150" s="1"/>
    </row>
    <row r="151" spans="1:22" ht="15" thickBot="1">
      <c r="A151" s="33" t="s">
        <v>45</v>
      </c>
      <c r="B151" s="26" t="s">
        <v>37</v>
      </c>
      <c r="C151" s="1" t="s">
        <v>54</v>
      </c>
      <c r="D151" s="12" t="s">
        <v>28</v>
      </c>
      <c r="E151" s="12" t="s">
        <v>266</v>
      </c>
      <c r="F151" s="11" t="s">
        <v>40</v>
      </c>
      <c r="G151" s="12" t="s">
        <v>29</v>
      </c>
      <c r="H151" s="12" t="s">
        <v>23</v>
      </c>
      <c r="I151" s="12" t="s">
        <v>24</v>
      </c>
      <c r="J151" s="12" t="s">
        <v>25</v>
      </c>
      <c r="K151" s="11" t="s">
        <v>19</v>
      </c>
      <c r="L151" s="12" t="s">
        <v>26</v>
      </c>
      <c r="M151" s="12" t="s">
        <v>20</v>
      </c>
      <c r="N151" s="12" t="s">
        <v>21</v>
      </c>
      <c r="O151" s="12" t="s">
        <v>22</v>
      </c>
      <c r="P151" s="13" t="s">
        <v>27</v>
      </c>
      <c r="Q151" s="85" t="s">
        <v>42</v>
      </c>
      <c r="R151" s="85"/>
      <c r="S151" s="85"/>
      <c r="T151" s="12" t="s">
        <v>51</v>
      </c>
      <c r="U151" s="37" t="s">
        <v>45</v>
      </c>
      <c r="V151" s="38" t="s">
        <v>48</v>
      </c>
    </row>
    <row r="152" spans="1:22">
      <c r="A152" s="40"/>
      <c r="B152" s="27" t="s">
        <v>30</v>
      </c>
      <c r="C152" s="8"/>
      <c r="D152" s="1" t="str">
        <f>IF(C152,C152+Q141,"")</f>
        <v/>
      </c>
      <c r="E152" s="72" t="str">
        <f>IF(C152,C152/D152,"")</f>
        <v/>
      </c>
      <c r="F152" s="14" t="str">
        <f>IF(AND(C152&lt;&gt;"",N139&lt;&gt;""),(M141/F141*E139+M142/F142*D139)/(C152+U141),"")</f>
        <v/>
      </c>
      <c r="G152" s="1" t="str">
        <f>IF(C152,IF(AND(F141&lt;&gt;0,C139&lt;&gt;0),M142,M142/F142*D139)/(C152+U142),"")</f>
        <v/>
      </c>
      <c r="H152" s="1" t="str">
        <f>IF(C152,(M143)/(C152+U143),"")</f>
        <v/>
      </c>
      <c r="I152" s="1" t="str">
        <f>IF(C152,(M144)/(C152+U144),"")</f>
        <v/>
      </c>
      <c r="J152" s="1" t="str">
        <f>IF(C152,(M145)/(C152+U145),"")</f>
        <v/>
      </c>
      <c r="K152" s="14" t="str">
        <f>IF(AND(C152&lt;&gt;"",N139&lt;&gt;""),9.8*N139*LN((C152+U141)/(C152+V141)),"")</f>
        <v/>
      </c>
      <c r="L152" s="1" t="str">
        <f>IF(C152,9.8*F142*LN((C152+U142)/(C152+V142)),"")</f>
        <v/>
      </c>
      <c r="M152" s="1" t="str">
        <f>IF(C152,9.8*F143*LN((C152+U143)/(C152+V143)),"")</f>
        <v/>
      </c>
      <c r="N152" s="1" t="str">
        <f>IF(C152,9.8*F144*LN((C152+U144)/(C152+V144)),"")</f>
        <v/>
      </c>
      <c r="O152" s="1" t="str">
        <f>IF(C152,9.8*F145*LN((C152+U145)/(C152+V145)),"")</f>
        <v/>
      </c>
      <c r="P152" s="15" t="str">
        <f>IF(C152,SUM(K152:O152),"")</f>
        <v/>
      </c>
      <c r="Q152" s="1"/>
      <c r="R152" s="1"/>
      <c r="S152" s="1"/>
      <c r="T152" s="32" t="str">
        <f>IF(OR(F152&lt;1,AND(F152="",G152&lt;1)),"起飞推重比不得小于0，空天飞机除外","")</f>
        <v/>
      </c>
      <c r="U152" s="1"/>
      <c r="V152" s="1"/>
    </row>
    <row r="153" spans="1:22">
      <c r="A153" s="47"/>
      <c r="B153" s="27" t="s">
        <v>31</v>
      </c>
      <c r="C153" s="9"/>
      <c r="D153" s="1" t="str">
        <f>IF(C153,C153+Q141,"")</f>
        <v/>
      </c>
      <c r="E153" s="72" t="str">
        <f t="shared" ref="E153:E155" si="46">IF(C153,C153/D153,"")</f>
        <v/>
      </c>
      <c r="F153" s="14" t="str">
        <f>IF(AND(C153&lt;&gt;"",N139&lt;&gt;""),(M141/F141*E139+M142/F142*D139)/(C153+U141),"")</f>
        <v/>
      </c>
      <c r="G153" s="1" t="str">
        <f>IF(C153,IF(AND(F141&lt;&gt;0,C139&lt;&gt;0),M142,M142/F142*D139)/(C153+U142),"")</f>
        <v/>
      </c>
      <c r="H153" s="1" t="str">
        <f>IF(C153,(M143)/(C153+U143),"")</f>
        <v/>
      </c>
      <c r="I153" s="1" t="str">
        <f>IF(C153,(M144)/(C153+U144),"")</f>
        <v/>
      </c>
      <c r="J153" s="1" t="str">
        <f>IF(C153,(M145)/(C153+U145),"")</f>
        <v/>
      </c>
      <c r="K153" s="14" t="str">
        <f>IF(AND(C153&lt;&gt;"",N139&lt;&gt;""),9.8*N139*LN((C153+U141)/(C153+V141)),"")</f>
        <v/>
      </c>
      <c r="L153" s="1" t="str">
        <f>IF(C153,9.8*F142*LN((C153+U142)/(C153+V142)),"")</f>
        <v/>
      </c>
      <c r="M153" s="1" t="str">
        <f>IF(C153,9.8*F143*LN((C153+U143)/(C153+V143)),"")</f>
        <v/>
      </c>
      <c r="N153" s="1" t="str">
        <f>IF(C153,9.8*F144*LN((C153+U144)/(C153+V144)),"")</f>
        <v/>
      </c>
      <c r="O153" s="1" t="str">
        <f>IF(C153,9.8*F145*LN((C153+U145)/(C153+V145)),"")</f>
        <v/>
      </c>
      <c r="P153" s="15" t="str">
        <f>IF(C153,SUM(K153:O153),"")</f>
        <v/>
      </c>
      <c r="Q153" s="1"/>
      <c r="R153" s="1"/>
      <c r="S153" s="1"/>
      <c r="T153" s="32" t="str">
        <f t="shared" ref="T153:T155" si="47">IF(OR(F153&lt;1,AND(F153="",G153&lt;1)),"起飞推重比不得小于0，空天飞机除外","")</f>
        <v/>
      </c>
      <c r="U153" s="1"/>
      <c r="V153" s="1"/>
    </row>
    <row r="154" spans="1:22">
      <c r="A154" s="47"/>
      <c r="B154" s="27" t="s">
        <v>32</v>
      </c>
      <c r="C154" s="9">
        <v>27.5</v>
      </c>
      <c r="D154" s="1">
        <f>IF(C154,C154+Q141,"")</f>
        <v>2627.5</v>
      </c>
      <c r="E154" s="72">
        <f t="shared" si="46"/>
        <v>1.0466222645099905E-2</v>
      </c>
      <c r="F154" s="14" t="str">
        <f>IF(AND(C154&lt;&gt;"",N139&lt;&gt;""),(M141/F141*E139+M142/F142*D139)/(C154+U141),"")</f>
        <v/>
      </c>
      <c r="G154" s="1">
        <f>IF(C154,IF(AND(F141&lt;&gt;0,C139&lt;&gt;0),M142,M142/F142*D139)/(C154+U142),"")</f>
        <v>1.2570006587133133</v>
      </c>
      <c r="H154" s="1">
        <f>IF(C154,(M143)/(C154+U143),"")</f>
        <v>0.66167330677290837</v>
      </c>
      <c r="I154" s="1">
        <f>IF(C154,(M144)/(C154+U144),"")</f>
        <v>0.82711864406779656</v>
      </c>
      <c r="J154" s="1">
        <f>IF(C154,(M145)/(C154+U145),"")</f>
        <v>0</v>
      </c>
      <c r="K154" s="14" t="str">
        <f>IF(AND(C154&lt;&gt;"",N139&lt;&gt;""),9.8*N139*LN((C154+U141)/(C154+V141)),"")</f>
        <v/>
      </c>
      <c r="L154" s="1">
        <f>IF(C154,9.8*F142*LN((C154+U142)/(C154+V142)),"")</f>
        <v>3424.7242994203148</v>
      </c>
      <c r="M154" s="1">
        <f>IF(C154,9.8*F143*LN((C154+U143)/(C154+V143)),"")</f>
        <v>4368.4371309957669</v>
      </c>
      <c r="N154" s="1">
        <f>IF(C154,9.8*F144*LN((C154+U144)/(C154+V144)),"")</f>
        <v>5211.9787445277288</v>
      </c>
      <c r="O154" s="1">
        <f>IF(C154,9.8*F145*LN((C154+U145)/(C154+V145)),"")</f>
        <v>0</v>
      </c>
      <c r="P154" s="15">
        <f>IF(C154,SUM(K154:O154),"")</f>
        <v>13005.14017494381</v>
      </c>
      <c r="Q154" s="1"/>
      <c r="R154" s="1"/>
      <c r="S154" s="1"/>
      <c r="T154" s="32" t="str">
        <f t="shared" si="47"/>
        <v/>
      </c>
      <c r="U154" s="1"/>
      <c r="V154" s="1"/>
    </row>
    <row r="155" spans="1:22" ht="15" thickBot="1">
      <c r="A155" s="48" t="s">
        <v>46</v>
      </c>
      <c r="B155" s="49" t="s">
        <v>33</v>
      </c>
      <c r="C155" s="50"/>
      <c r="D155" s="25" t="str">
        <f>IF(C155,C155+Q141,"")</f>
        <v/>
      </c>
      <c r="E155" s="73" t="str">
        <f t="shared" si="46"/>
        <v/>
      </c>
      <c r="F155" s="70" t="str">
        <f>IF(AND(C155&lt;&gt;"",N139&lt;&gt;""),(M141/F141*E139+M142/F142*D139)/(C155+U141),"")</f>
        <v/>
      </c>
      <c r="G155" s="25" t="str">
        <f>IF(C155,IF(AND(F141&lt;&gt;0,C139&lt;&gt;0),M142,M142/F142*D139)/(C155+U142),"")</f>
        <v/>
      </c>
      <c r="H155" s="25" t="str">
        <f>IF(C155,(M143)/(C155+U143),"")</f>
        <v/>
      </c>
      <c r="I155" s="25" t="str">
        <f>IF(C155,(M144)/(C155+U144),"")</f>
        <v/>
      </c>
      <c r="J155" s="25" t="str">
        <f>IF(C155,(M145)/(C155+U145),"")</f>
        <v/>
      </c>
      <c r="K155" s="70" t="str">
        <f>IF(AND(C155&lt;&gt;"",N139&lt;&gt;""),9.8*N139*LN((C155+U141)/(C155+V141)),"")</f>
        <v/>
      </c>
      <c r="L155" s="25" t="str">
        <f>IF(C155,9.8*F142*LN((C155+U142)/(C155+V142)),"")</f>
        <v/>
      </c>
      <c r="M155" s="25" t="str">
        <f>IF(C155,9.8*F143*LN((C155+U143)/(C155+V143)),"")</f>
        <v/>
      </c>
      <c r="N155" s="25" t="str">
        <f>IF(C155,9.8*F144*LN((C155+U144)/(C155+V144)),"")</f>
        <v/>
      </c>
      <c r="O155" s="25" t="str">
        <f>IF(C155,9.8*F145*LN((C155+U145)/(C155+V145)),"")</f>
        <v/>
      </c>
      <c r="P155" s="71" t="str">
        <f>IF(C155,SUM(K155:O155),"")</f>
        <v/>
      </c>
      <c r="Q155" s="25"/>
      <c r="R155" s="25"/>
      <c r="S155" s="25"/>
      <c r="T155" s="51" t="str">
        <f t="shared" si="47"/>
        <v/>
      </c>
      <c r="U155" s="25"/>
      <c r="V155" s="25"/>
    </row>
    <row r="156" spans="1:22" ht="15" thickBot="1"/>
    <row r="157" spans="1:22" ht="15" thickBot="1">
      <c r="A157" s="52" t="s">
        <v>494</v>
      </c>
      <c r="B157" s="52"/>
      <c r="C157" s="29" t="s">
        <v>0</v>
      </c>
      <c r="D157" s="90" t="s">
        <v>41</v>
      </c>
      <c r="E157" s="90"/>
      <c r="F157" s="43"/>
      <c r="G157" s="43"/>
      <c r="H157" s="43"/>
      <c r="I157" s="86" t="s">
        <v>42</v>
      </c>
      <c r="J157" s="86"/>
      <c r="K157" s="86"/>
      <c r="L157" s="54" t="s">
        <v>70</v>
      </c>
      <c r="M157" s="86" t="s">
        <v>71</v>
      </c>
      <c r="N157" s="86"/>
      <c r="O157" s="87"/>
      <c r="P157" s="29" t="s">
        <v>49</v>
      </c>
      <c r="Q157" s="34" t="str">
        <f>IF(OR(P161&lt;P160,T161&lt;T160),"芯级燃烧时间不得小于助推燃烧时间！","")</f>
        <v/>
      </c>
      <c r="R157" s="44"/>
      <c r="S157" s="45"/>
      <c r="T157" s="29"/>
      <c r="U157" s="46" t="s">
        <v>45</v>
      </c>
      <c r="V157" s="46" t="s">
        <v>48</v>
      </c>
    </row>
    <row r="158" spans="1:22" ht="15" thickBot="1">
      <c r="A158" s="40" t="s">
        <v>497</v>
      </c>
      <c r="B158" s="39"/>
      <c r="C158" s="2">
        <v>2</v>
      </c>
      <c r="D158" s="2">
        <v>302</v>
      </c>
      <c r="E158" s="2">
        <v>302</v>
      </c>
      <c r="F158" s="41"/>
      <c r="G158" s="42"/>
      <c r="H158" s="42"/>
      <c r="I158" s="24" t="s">
        <v>519</v>
      </c>
      <c r="J158" s="24"/>
      <c r="K158" s="24"/>
      <c r="L158" s="55">
        <f>IFERROR(IF(AND(F160&lt;&gt;0,C158&lt;&gt;0),M160/F160*E158+M161/F161*D158,M161/F161*D158),0)</f>
        <v>2677.792899408284</v>
      </c>
      <c r="M158" s="53" t="s">
        <v>45</v>
      </c>
      <c r="N158" s="17">
        <f>IF(AND(F160&lt;&gt;0,C158&lt;&gt;0),(M160+M161)/(M160/F160+M161/F161),"")</f>
        <v>338</v>
      </c>
      <c r="O158" s="56" t="s">
        <v>46</v>
      </c>
      <c r="P158" s="89" t="s">
        <v>17</v>
      </c>
      <c r="Q158" s="89"/>
      <c r="R158" s="91"/>
      <c r="S158" s="88" t="s">
        <v>18</v>
      </c>
      <c r="T158" s="89"/>
      <c r="U158" s="89"/>
      <c r="V158" s="89"/>
    </row>
    <row r="159" spans="1:22" ht="15" thickBot="1">
      <c r="A159" s="33" t="s">
        <v>45</v>
      </c>
      <c r="B159" s="26" t="s">
        <v>39</v>
      </c>
      <c r="C159" s="1" t="s">
        <v>60</v>
      </c>
      <c r="D159" s="1" t="s">
        <v>61</v>
      </c>
      <c r="E159" s="1" t="s">
        <v>62</v>
      </c>
      <c r="F159" s="1" t="s">
        <v>63</v>
      </c>
      <c r="G159" s="1" t="s">
        <v>64</v>
      </c>
      <c r="H159" s="1" t="s">
        <v>65</v>
      </c>
      <c r="I159" s="24"/>
      <c r="J159" s="24"/>
      <c r="K159" s="24"/>
      <c r="L159" s="11" t="s">
        <v>6</v>
      </c>
      <c r="M159" s="12" t="s">
        <v>69</v>
      </c>
      <c r="N159" s="12" t="s">
        <v>15</v>
      </c>
      <c r="O159" s="13" t="s">
        <v>14</v>
      </c>
      <c r="P159" s="14" t="s">
        <v>12</v>
      </c>
      <c r="Q159" s="1" t="s">
        <v>10</v>
      </c>
      <c r="R159" s="15" t="s">
        <v>11</v>
      </c>
      <c r="S159" s="14" t="s">
        <v>13</v>
      </c>
      <c r="T159" s="1" t="s">
        <v>16</v>
      </c>
      <c r="U159" s="1" t="s">
        <v>10</v>
      </c>
      <c r="V159" s="1" t="s">
        <v>11</v>
      </c>
    </row>
    <row r="160" spans="1:22">
      <c r="A160" s="40"/>
      <c r="B160" s="27" t="s">
        <v>3</v>
      </c>
      <c r="C160" s="3">
        <v>600</v>
      </c>
      <c r="D160" s="4">
        <v>16</v>
      </c>
      <c r="E160" s="4">
        <v>999</v>
      </c>
      <c r="F160" s="4">
        <v>338</v>
      </c>
      <c r="G160" s="19"/>
      <c r="H160" s="20">
        <v>0.11</v>
      </c>
      <c r="I160" s="24" t="s">
        <v>100</v>
      </c>
      <c r="J160" s="24"/>
      <c r="K160" s="24"/>
      <c r="L160" s="14">
        <f>C160*C158</f>
        <v>1200</v>
      </c>
      <c r="M160" s="1">
        <f>E160*C158</f>
        <v>1998</v>
      </c>
      <c r="N160" s="1">
        <f>IF(D160,L160/D160,0)</f>
        <v>75</v>
      </c>
      <c r="O160" s="15">
        <f>L160-N160</f>
        <v>1125</v>
      </c>
      <c r="P160" s="14">
        <f>IF(AND(F160&lt;&gt;0,C158&lt;&gt;0),O160/M160*F160/IF(G160,G160,1),0)</f>
        <v>190.31531531531533</v>
      </c>
      <c r="Q160" s="1">
        <f>SUM(L160:L164)</f>
        <v>2093</v>
      </c>
      <c r="R160" s="15">
        <f>N160+Q161</f>
        <v>517.99999999999989</v>
      </c>
      <c r="S160" s="14">
        <f>N160+H160*O160</f>
        <v>198.75</v>
      </c>
      <c r="T160" s="1">
        <f>IF(AND(F160&lt;&gt;0,C158&lt;&gt;0),(1-H160)*O160/M160*F160/IF(G160,G160,1),0)</f>
        <v>169.38063063063063</v>
      </c>
      <c r="U160" s="1">
        <f>SUM(L160:L164)</f>
        <v>2093</v>
      </c>
      <c r="V160" s="1">
        <f>S160+U161</f>
        <v>691.25</v>
      </c>
    </row>
    <row r="161" spans="1:22">
      <c r="A161" s="47"/>
      <c r="B161" s="27">
        <v>1</v>
      </c>
      <c r="C161" s="5">
        <v>600</v>
      </c>
      <c r="D161" s="1">
        <v>16</v>
      </c>
      <c r="E161" s="1">
        <v>999</v>
      </c>
      <c r="F161" s="1">
        <v>338</v>
      </c>
      <c r="G161" s="5">
        <v>0.8</v>
      </c>
      <c r="H161" s="21">
        <v>0.15</v>
      </c>
      <c r="I161" s="30" t="s">
        <v>100</v>
      </c>
      <c r="J161" s="30"/>
      <c r="K161" s="30"/>
      <c r="L161" s="14">
        <f>C161</f>
        <v>600</v>
      </c>
      <c r="M161" s="1">
        <f>E161</f>
        <v>999</v>
      </c>
      <c r="N161" s="1">
        <f>IF(D161,L161/D161,0)</f>
        <v>37.5</v>
      </c>
      <c r="O161" s="15">
        <f>L161-N161</f>
        <v>562.5</v>
      </c>
      <c r="P161" s="14">
        <f t="shared" ref="P161:P164" si="48">IF(F161,O161/M161*F161/IF(G161,G161,1),0)</f>
        <v>237.89414414414415</v>
      </c>
      <c r="Q161" s="1">
        <f>IF(F161,SUM(L161:L164)-P160*M161/F161*IF(G161,G161,1),0)</f>
        <v>442.99999999999989</v>
      </c>
      <c r="R161" s="15">
        <f>N161+Q162</f>
        <v>330.5</v>
      </c>
      <c r="S161" s="14">
        <f>N161+H161*O161</f>
        <v>121.875</v>
      </c>
      <c r="T161" s="1">
        <f>IF(F161,(1-H161)*O161/M161*F161/IF(G161,G161,1),0)</f>
        <v>202.21002252252251</v>
      </c>
      <c r="U161" s="1">
        <f>IF(F161,SUM(L161:L164)-T160*M161/F161*IF(G161,G161,1),0)</f>
        <v>492.5</v>
      </c>
      <c r="V161" s="1">
        <f>S161+U162</f>
        <v>414.875</v>
      </c>
    </row>
    <row r="162" spans="1:22">
      <c r="A162" s="47"/>
      <c r="B162" s="27">
        <v>2</v>
      </c>
      <c r="C162" s="5">
        <v>257</v>
      </c>
      <c r="D162" s="1">
        <v>8</v>
      </c>
      <c r="E162" s="1">
        <v>244</v>
      </c>
      <c r="F162" s="1">
        <v>445</v>
      </c>
      <c r="G162" s="5"/>
      <c r="H162" s="21"/>
      <c r="I162" s="30" t="s">
        <v>520</v>
      </c>
      <c r="J162" s="30"/>
      <c r="K162" s="30"/>
      <c r="L162" s="14">
        <f>C162</f>
        <v>257</v>
      </c>
      <c r="M162" s="1">
        <f>E162</f>
        <v>244</v>
      </c>
      <c r="N162" s="1">
        <f>IF(D162,L162/D162,0)</f>
        <v>32.125</v>
      </c>
      <c r="O162" s="15">
        <f>L162-N162</f>
        <v>224.875</v>
      </c>
      <c r="P162" s="14">
        <f t="shared" si="48"/>
        <v>410.12038934426232</v>
      </c>
      <c r="Q162" s="1">
        <f>SUM(L162:L164)</f>
        <v>293</v>
      </c>
      <c r="R162" s="15">
        <f>N162+Q163</f>
        <v>68.125</v>
      </c>
      <c r="S162" s="14">
        <f>N162+H162*O162</f>
        <v>32.125</v>
      </c>
      <c r="T162" s="1">
        <f t="shared" ref="T162:T164" si="49">IF(F162,(1-H162)*O162/M162*F162/IF(G162,G162,1),0)</f>
        <v>410.12038934426232</v>
      </c>
      <c r="U162" s="1">
        <f>SUM(L162:L164)</f>
        <v>293</v>
      </c>
      <c r="V162" s="1">
        <f>S162+U163</f>
        <v>68.125</v>
      </c>
    </row>
    <row r="163" spans="1:22">
      <c r="A163" s="33" t="s">
        <v>45</v>
      </c>
      <c r="B163" s="27">
        <v>3</v>
      </c>
      <c r="C163" s="5">
        <v>36</v>
      </c>
      <c r="D163" s="1">
        <v>6</v>
      </c>
      <c r="E163" s="1">
        <v>25.5</v>
      </c>
      <c r="F163" s="1">
        <v>456</v>
      </c>
      <c r="G163" s="5"/>
      <c r="H163" s="21"/>
      <c r="I163" s="30" t="s">
        <v>521</v>
      </c>
      <c r="J163" s="30"/>
      <c r="K163" s="30"/>
      <c r="L163" s="14">
        <f>C163</f>
        <v>36</v>
      </c>
      <c r="M163" s="1">
        <f>E163</f>
        <v>25.5</v>
      </c>
      <c r="N163" s="1">
        <f>IF(D163,L163/D163,0)</f>
        <v>6</v>
      </c>
      <c r="O163" s="15">
        <f>L163-N163</f>
        <v>30</v>
      </c>
      <c r="P163" s="14">
        <f t="shared" si="48"/>
        <v>536.47058823529414</v>
      </c>
      <c r="Q163" s="1">
        <f>SUM(L163:L164)</f>
        <v>36</v>
      </c>
      <c r="R163" s="15">
        <f>N163+Q164</f>
        <v>6</v>
      </c>
      <c r="S163" s="14">
        <f>N163+H163*O163</f>
        <v>6</v>
      </c>
      <c r="T163" s="1">
        <f t="shared" si="49"/>
        <v>536.47058823529414</v>
      </c>
      <c r="U163" s="1">
        <f>SUM(L163:L164)</f>
        <v>36</v>
      </c>
      <c r="V163" s="1">
        <f>S163+U164</f>
        <v>6</v>
      </c>
    </row>
    <row r="164" spans="1:22" ht="15" thickBot="1">
      <c r="A164" s="40"/>
      <c r="B164" s="28">
        <v>4</v>
      </c>
      <c r="C164" s="6"/>
      <c r="D164" s="7"/>
      <c r="E164" s="7"/>
      <c r="F164" s="7"/>
      <c r="G164" s="22"/>
      <c r="H164" s="23"/>
      <c r="I164" s="24"/>
      <c r="J164" s="24"/>
      <c r="K164" s="24"/>
      <c r="L164" s="16">
        <f>C164</f>
        <v>0</v>
      </c>
      <c r="M164" s="17">
        <f>E164</f>
        <v>0</v>
      </c>
      <c r="N164" s="17">
        <f>IF(D164,L164/D164,0)</f>
        <v>0</v>
      </c>
      <c r="O164" s="18">
        <f>L164-N164</f>
        <v>0</v>
      </c>
      <c r="P164" s="14">
        <f t="shared" si="48"/>
        <v>0</v>
      </c>
      <c r="Q164" s="17">
        <f>SUM(L164:L164)</f>
        <v>0</v>
      </c>
      <c r="R164" s="18">
        <f>N164</f>
        <v>0</v>
      </c>
      <c r="S164" s="16">
        <f>N164+H164*O164</f>
        <v>0</v>
      </c>
      <c r="T164" s="17">
        <f t="shared" si="49"/>
        <v>0</v>
      </c>
      <c r="U164" s="17">
        <f>SUM(L164:L164)</f>
        <v>0</v>
      </c>
      <c r="V164" s="17">
        <f>S164</f>
        <v>0</v>
      </c>
    </row>
    <row r="165" spans="1:22" ht="15" thickBot="1">
      <c r="A165" s="47"/>
      <c r="B165" s="26" t="s">
        <v>38</v>
      </c>
      <c r="C165" s="1" t="s">
        <v>4</v>
      </c>
      <c r="D165" s="1" t="s">
        <v>28</v>
      </c>
      <c r="E165" s="1" t="s">
        <v>265</v>
      </c>
      <c r="F165" s="69" t="s">
        <v>40</v>
      </c>
      <c r="G165" s="1" t="s">
        <v>29</v>
      </c>
      <c r="H165" s="1" t="s">
        <v>23</v>
      </c>
      <c r="I165" s="12" t="s">
        <v>24</v>
      </c>
      <c r="J165" s="12" t="s">
        <v>25</v>
      </c>
      <c r="K165" s="11" t="s">
        <v>19</v>
      </c>
      <c r="L165" s="12" t="s">
        <v>26</v>
      </c>
      <c r="M165" s="12" t="s">
        <v>20</v>
      </c>
      <c r="N165" s="12" t="s">
        <v>21</v>
      </c>
      <c r="O165" s="12" t="s">
        <v>22</v>
      </c>
      <c r="P165" s="13" t="s">
        <v>27</v>
      </c>
      <c r="Q165" s="85" t="s">
        <v>42</v>
      </c>
      <c r="R165" s="85"/>
      <c r="S165" s="85"/>
      <c r="T165" s="31" t="s">
        <v>50</v>
      </c>
      <c r="U165" s="35" t="s">
        <v>47</v>
      </c>
      <c r="V165" s="36" t="s">
        <v>264</v>
      </c>
    </row>
    <row r="166" spans="1:22">
      <c r="A166" s="47"/>
      <c r="B166" s="27" t="s">
        <v>30</v>
      </c>
      <c r="C166" s="8"/>
      <c r="D166" s="1" t="str">
        <f>IF(C166,C166+Q160,"")</f>
        <v/>
      </c>
      <c r="E166" s="72" t="str">
        <f>IF(C166,C166/D166,"")</f>
        <v/>
      </c>
      <c r="F166" s="14" t="str">
        <f>IF(AND(C166&lt;&gt;"",N158&lt;&gt;""),(M160/F160*E158+M161/F161*D158)/(C166+Q160),"")</f>
        <v/>
      </c>
      <c r="G166" s="1" t="str">
        <f>IF(C166,IF(AND(F160&lt;&gt;0,C158&lt;&gt;0),M161,M161/F161*D158)/(C166+Q161),"")</f>
        <v/>
      </c>
      <c r="H166" s="1" t="str">
        <f>IF(C166,(M162)/(C166+Q162),"")</f>
        <v/>
      </c>
      <c r="I166" s="1" t="str">
        <f>IF(C166,(M163)/(C166+Q163),"")</f>
        <v/>
      </c>
      <c r="J166" s="1" t="str">
        <f>IF(C166,(M164)/(C166+Q164),"")</f>
        <v/>
      </c>
      <c r="K166" s="14" t="str">
        <f>IF(AND(C166&lt;&gt;"",N158&lt;&gt;""),9.8*N158*LN((C166+Q160)/(C166+R160)),"")</f>
        <v/>
      </c>
      <c r="L166" s="1" t="str">
        <f>IF(C166,9.8*F161*LN((C166+Q161)/(C166+R161)),"")</f>
        <v/>
      </c>
      <c r="M166" s="1" t="str">
        <f>IF(C166,9.8*F162*LN((C166+Q162)/(C166+R162)),"")</f>
        <v/>
      </c>
      <c r="N166" s="1" t="str">
        <f>IF(C166,9.8*F163*LN((C166+Q163)/(C166+R163)),"")</f>
        <v/>
      </c>
      <c r="O166" s="1" t="str">
        <f>IF(C166,9.8*F164*LN((C166+Q164)/(C166+R164)),"")</f>
        <v/>
      </c>
      <c r="P166" s="15" t="str">
        <f>IF(C166,SUM(K166:O166),"")</f>
        <v/>
      </c>
      <c r="Q166" s="1"/>
      <c r="R166" s="1"/>
      <c r="S166" s="1"/>
      <c r="T166" s="32" t="str">
        <f>IF(OR(F166&lt;1,AND(F166="",G166&lt;1)),"起飞推重比不得小于0，空天飞机除外","")</f>
        <v/>
      </c>
      <c r="U166" s="1"/>
      <c r="V166" s="1"/>
    </row>
    <row r="167" spans="1:22">
      <c r="A167" s="33" t="s">
        <v>47</v>
      </c>
      <c r="B167" s="27" t="s">
        <v>31</v>
      </c>
      <c r="C167" s="9"/>
      <c r="D167" s="1" t="str">
        <f>IF(C167,C167+Q160,"")</f>
        <v/>
      </c>
      <c r="E167" s="72" t="str">
        <f t="shared" ref="E167:E169" si="50">IF(C167,C167/D167,"")</f>
        <v/>
      </c>
      <c r="F167" s="14" t="str">
        <f>IF(AND(C167&lt;&gt;"",N158&lt;&gt;""),(M160/F160*E158+M161/F161*D158)/(C167+Q160),"")</f>
        <v/>
      </c>
      <c r="G167" s="1" t="str">
        <f>IF(C167,IF(AND(F160&lt;&gt;0,C158&lt;&gt;0),M161,M161/F161*D158)/(C167+Q161),"")</f>
        <v/>
      </c>
      <c r="H167" s="1" t="str">
        <f>IF(C167,(M162)/(C167+Q162),"")</f>
        <v/>
      </c>
      <c r="I167" s="1" t="str">
        <f>IF(C167,(M163)/(C167+Q163),"")</f>
        <v/>
      </c>
      <c r="J167" s="1" t="str">
        <f>IF(C167,(M164)/(C167+Q164),"")</f>
        <v/>
      </c>
      <c r="K167" s="14" t="str">
        <f>IF(AND(C167&lt;&gt;"",N158&lt;&gt;""),9.8*N158*LN((C167+Q160)/(C167+R160)),"")</f>
        <v/>
      </c>
      <c r="L167" s="1" t="str">
        <f>IF(C167,9.8*F161*LN((C167+Q161)/(C167+R161)),"")</f>
        <v/>
      </c>
      <c r="M167" s="1" t="str">
        <f>IF(C167,9.8*F162*LN((C167+Q162)/(C167+R162)),"")</f>
        <v/>
      </c>
      <c r="N167" s="1" t="str">
        <f>IF(C167,9.8*F163*LN((C167+Q163)/(C167+R163)),"")</f>
        <v/>
      </c>
      <c r="O167" s="1" t="str">
        <f>IF(C167,9.8*F164*LN((C167+Q164)/(C167+R164)),"")</f>
        <v/>
      </c>
      <c r="P167" s="15" t="str">
        <f>IF(C167,SUM(K167:O167),"")</f>
        <v/>
      </c>
      <c r="Q167" s="1"/>
      <c r="R167" s="1"/>
      <c r="S167" s="1"/>
      <c r="T167" s="32" t="str">
        <f t="shared" ref="T167:T169" si="51">IF(OR(F167&lt;1,AND(F167="",G167&lt;1)),"起飞推重比不得小于0，空天飞机除外","")</f>
        <v/>
      </c>
      <c r="U167" s="1"/>
      <c r="V167" s="1"/>
    </row>
    <row r="168" spans="1:22">
      <c r="A168" s="40"/>
      <c r="B168" s="27" t="s">
        <v>36</v>
      </c>
      <c r="C168" s="9">
        <v>33</v>
      </c>
      <c r="D168" s="1">
        <f>IF(C168,C168+Q160,"")</f>
        <v>2126</v>
      </c>
      <c r="E168" s="72">
        <f t="shared" si="50"/>
        <v>1.5522107243650047E-2</v>
      </c>
      <c r="F168" s="14">
        <f>IF(AND(C168&lt;&gt;"",N158&lt;&gt;""),(M160/F160*E158+M161/F161*D158)/(C168+Q160),"")</f>
        <v>1.2595451079060602</v>
      </c>
      <c r="G168" s="1">
        <f>IF(C168,IF(AND(F160&lt;&gt;0,C158&lt;&gt;0),M161,M161/F161*D158)/(C168+Q161),"")</f>
        <v>2.0987394957983199</v>
      </c>
      <c r="H168" s="1">
        <f>IF(C168,(M162)/(C168+Q162),"")</f>
        <v>0.74846625766871167</v>
      </c>
      <c r="I168" s="1">
        <f>IF(C168,(M163)/(C168+Q163),"")</f>
        <v>0.36956521739130432</v>
      </c>
      <c r="J168" s="1">
        <f>IF(C168,(M164)/(C168+Q164),"")</f>
        <v>0</v>
      </c>
      <c r="K168" s="14">
        <f>IF(AND(C168&lt;&gt;"",N158&lt;&gt;""),9.8*N158*LN((C168+Q160)/(C168+R160)),"")</f>
        <v>4472.6103322685185</v>
      </c>
      <c r="L168" s="1">
        <f>IF(C168,9.8*F161*LN((C168+Q161)/(C168+R161)),"")</f>
        <v>893.15075706088794</v>
      </c>
      <c r="M168" s="1">
        <f>IF(C168,9.8*F162*LN((C168+Q162)/(C168+R162)),"")</f>
        <v>5104.7249661138949</v>
      </c>
      <c r="N168" s="1">
        <f>IF(C168,9.8*F163*LN((C168+Q163)/(C168+R163)),"")</f>
        <v>2549.6508635200689</v>
      </c>
      <c r="O168" s="1">
        <f>IF(C168,9.8*F164*LN((C168+Q164)/(C168+R164)),"")</f>
        <v>0</v>
      </c>
      <c r="P168" s="15">
        <f>IF(C168,SUM(K168:O168),"")</f>
        <v>13020.13691896337</v>
      </c>
      <c r="Q168" s="1"/>
      <c r="R168" s="1"/>
      <c r="S168" s="1"/>
      <c r="T168" s="32" t="str">
        <f t="shared" si="51"/>
        <v/>
      </c>
      <c r="U168" s="1"/>
      <c r="V168" s="1"/>
    </row>
    <row r="169" spans="1:22" ht="15" thickBot="1">
      <c r="A169" s="47"/>
      <c r="B169" s="28" t="s">
        <v>5</v>
      </c>
      <c r="C169" s="10"/>
      <c r="D169" s="1" t="str">
        <f>IF(C169,C169+Q160,"")</f>
        <v/>
      </c>
      <c r="E169" s="72" t="str">
        <f t="shared" si="50"/>
        <v/>
      </c>
      <c r="F169" s="14" t="str">
        <f>IF(AND(C169&lt;&gt;"",N158&lt;&gt;""),(M160/F160*E158+M161/F161*D158)/(C169+Q160),"")</f>
        <v/>
      </c>
      <c r="G169" s="1" t="str">
        <f>IF(C169,IF(AND(F160&lt;&gt;0,C158&lt;&gt;0),M161,M161/F161*D158)/(C169+Q161),"")</f>
        <v/>
      </c>
      <c r="H169" s="1" t="str">
        <f>IF(C169,(M162)/(C169+Q162),"")</f>
        <v/>
      </c>
      <c r="I169" s="1" t="str">
        <f>IF(C169,(M163)/(C169+Q163),"")</f>
        <v/>
      </c>
      <c r="J169" s="1" t="str">
        <f>IF(C169,(M164)/(C169+Q164),"")</f>
        <v/>
      </c>
      <c r="K169" s="14" t="str">
        <f>IF(AND(C169&lt;&gt;"",N158&lt;&gt;""),9.8*N158*LN((C169+Q160)/(C169+R160)),"")</f>
        <v/>
      </c>
      <c r="L169" s="1" t="str">
        <f>IF(C169,9.8*F161*LN((C169+Q161)/(C169+R161)),"")</f>
        <v/>
      </c>
      <c r="M169" s="1" t="str">
        <f>IF(C169,9.8*F162*LN((C169+Q162)/(C169+R162)),"")</f>
        <v/>
      </c>
      <c r="N169" s="1" t="str">
        <f>IF(C169,9.8*F163*LN((C169+Q163)/(C169+R163)),"")</f>
        <v/>
      </c>
      <c r="O169" s="1" t="str">
        <f>IF(C169,9.8*F164*LN((C169+Q164)/(C169+R164)),"")</f>
        <v/>
      </c>
      <c r="P169" s="15" t="str">
        <f>IF(C169,SUM(K169:O169),"")</f>
        <v/>
      </c>
      <c r="Q169" s="17"/>
      <c r="R169" s="17"/>
      <c r="S169" s="17"/>
      <c r="T169" s="32" t="str">
        <f t="shared" si="51"/>
        <v/>
      </c>
      <c r="U169" s="1"/>
      <c r="V169" s="1"/>
    </row>
    <row r="170" spans="1:22" ht="15" thickBot="1">
      <c r="A170" s="33" t="s">
        <v>45</v>
      </c>
      <c r="B170" s="26" t="s">
        <v>37</v>
      </c>
      <c r="C170" s="1" t="s">
        <v>54</v>
      </c>
      <c r="D170" s="12" t="s">
        <v>28</v>
      </c>
      <c r="E170" s="12" t="s">
        <v>266</v>
      </c>
      <c r="F170" s="11" t="s">
        <v>40</v>
      </c>
      <c r="G170" s="12" t="s">
        <v>29</v>
      </c>
      <c r="H170" s="12" t="s">
        <v>23</v>
      </c>
      <c r="I170" s="12" t="s">
        <v>24</v>
      </c>
      <c r="J170" s="12" t="s">
        <v>25</v>
      </c>
      <c r="K170" s="11" t="s">
        <v>19</v>
      </c>
      <c r="L170" s="12" t="s">
        <v>26</v>
      </c>
      <c r="M170" s="12" t="s">
        <v>20</v>
      </c>
      <c r="N170" s="12" t="s">
        <v>21</v>
      </c>
      <c r="O170" s="12" t="s">
        <v>22</v>
      </c>
      <c r="P170" s="13" t="s">
        <v>27</v>
      </c>
      <c r="Q170" s="85" t="s">
        <v>42</v>
      </c>
      <c r="R170" s="85"/>
      <c r="S170" s="85"/>
      <c r="T170" s="12" t="s">
        <v>51</v>
      </c>
      <c r="U170" s="37" t="s">
        <v>45</v>
      </c>
      <c r="V170" s="38" t="s">
        <v>48</v>
      </c>
    </row>
    <row r="171" spans="1:22">
      <c r="A171" s="40"/>
      <c r="B171" s="27" t="s">
        <v>30</v>
      </c>
      <c r="C171" s="8"/>
      <c r="D171" s="1" t="str">
        <f>IF(C171,C171+Q160,"")</f>
        <v/>
      </c>
      <c r="E171" s="72" t="str">
        <f>IF(C171,C171/D171,"")</f>
        <v/>
      </c>
      <c r="F171" s="14" t="str">
        <f>IF(AND(C171&lt;&gt;"",N158&lt;&gt;""),(M160/F160*E158+M161/F161*D158)/(C171+U160),"")</f>
        <v/>
      </c>
      <c r="G171" s="1" t="str">
        <f>IF(C171,IF(AND(F160&lt;&gt;0,C158&lt;&gt;0),M161,M161/F161*D158)/(C171+U161),"")</f>
        <v/>
      </c>
      <c r="H171" s="1" t="str">
        <f>IF(C171,(M162)/(C171+U162),"")</f>
        <v/>
      </c>
      <c r="I171" s="1" t="str">
        <f>IF(C171,(M163)/(C171+U163),"")</f>
        <v/>
      </c>
      <c r="J171" s="1" t="str">
        <f>IF(C171,(M164)/(C171+U164),"")</f>
        <v/>
      </c>
      <c r="K171" s="14" t="str">
        <f>IF(AND(C171&lt;&gt;"",N158&lt;&gt;""),9.8*N158*LN((C171+U160)/(C171+V160)),"")</f>
        <v/>
      </c>
      <c r="L171" s="1" t="str">
        <f>IF(C171,9.8*F161*LN((C171+U161)/(C171+V161)),"")</f>
        <v/>
      </c>
      <c r="M171" s="1" t="str">
        <f>IF(C171,9.8*F162*LN((C171+U162)/(C171+V162)),"")</f>
        <v/>
      </c>
      <c r="N171" s="1" t="str">
        <f>IF(C171,9.8*F163*LN((C171+U163)/(C171+V163)),"")</f>
        <v/>
      </c>
      <c r="O171" s="1" t="str">
        <f>IF(C171,9.8*F164*LN((C171+U164)/(C171+V164)),"")</f>
        <v/>
      </c>
      <c r="P171" s="15" t="str">
        <f>IF(C171,SUM(K171:O171),"")</f>
        <v/>
      </c>
      <c r="Q171" s="1"/>
      <c r="R171" s="1"/>
      <c r="S171" s="1"/>
      <c r="T171" s="32" t="str">
        <f>IF(OR(F171&lt;1,AND(F171="",G171&lt;1)),"起飞推重比不得小于0，空天飞机除外","")</f>
        <v/>
      </c>
      <c r="U171" s="1"/>
      <c r="V171" s="1"/>
    </row>
    <row r="172" spans="1:22">
      <c r="A172" s="47"/>
      <c r="B172" s="27" t="s">
        <v>31</v>
      </c>
      <c r="C172" s="9"/>
      <c r="D172" s="1" t="str">
        <f>IF(C172,C172+Q160,"")</f>
        <v/>
      </c>
      <c r="E172" s="72" t="str">
        <f t="shared" ref="E172:E174" si="52">IF(C172,C172/D172,"")</f>
        <v/>
      </c>
      <c r="F172" s="14" t="str">
        <f>IF(AND(C172&lt;&gt;"",N158&lt;&gt;""),(M160/F160*E158+M161/F161*D158)/(C172+U160),"")</f>
        <v/>
      </c>
      <c r="G172" s="1" t="str">
        <f>IF(C172,IF(AND(F160&lt;&gt;0,C158&lt;&gt;0),M161,M161/F161*D158)/(C172+U161),"")</f>
        <v/>
      </c>
      <c r="H172" s="1" t="str">
        <f>IF(C172,(M162)/(C172+U162),"")</f>
        <v/>
      </c>
      <c r="I172" s="1" t="str">
        <f>IF(C172,(M163)/(C172+U163),"")</f>
        <v/>
      </c>
      <c r="J172" s="1" t="str">
        <f>IF(C172,(M164)/(C172+U164),"")</f>
        <v/>
      </c>
      <c r="K172" s="14" t="str">
        <f>IF(AND(C172&lt;&gt;"",N158&lt;&gt;""),9.8*N158*LN((C172+U160)/(C172+V160)),"")</f>
        <v/>
      </c>
      <c r="L172" s="1" t="str">
        <f>IF(C172,9.8*F161*LN((C172+U161)/(C172+V161)),"")</f>
        <v/>
      </c>
      <c r="M172" s="1" t="str">
        <f>IF(C172,9.8*F162*LN((C172+U162)/(C172+V162)),"")</f>
        <v/>
      </c>
      <c r="N172" s="1" t="str">
        <f>IF(C172,9.8*F163*LN((C172+U163)/(C172+V163)),"")</f>
        <v/>
      </c>
      <c r="O172" s="1" t="str">
        <f>IF(C172,9.8*F164*LN((C172+U164)/(C172+V164)),"")</f>
        <v/>
      </c>
      <c r="P172" s="15" t="str">
        <f>IF(C172,SUM(K172:O172),"")</f>
        <v/>
      </c>
      <c r="Q172" s="1"/>
      <c r="R172" s="1"/>
      <c r="S172" s="1"/>
      <c r="T172" s="32" t="str">
        <f t="shared" ref="T172:T174" si="53">IF(OR(F172&lt;1,AND(F172="",G172&lt;1)),"起飞推重比不得小于0，空天飞机除外","")</f>
        <v/>
      </c>
      <c r="U172" s="1"/>
      <c r="V172" s="1"/>
    </row>
    <row r="173" spans="1:22">
      <c r="A173" s="47"/>
      <c r="B173" s="27" t="s">
        <v>32</v>
      </c>
      <c r="C173" s="9">
        <v>20.5</v>
      </c>
      <c r="D173" s="1">
        <f>IF(C173,C173+Q160,"")</f>
        <v>2113.5</v>
      </c>
      <c r="E173" s="72">
        <f t="shared" si="52"/>
        <v>9.6995505086349652E-3</v>
      </c>
      <c r="F173" s="14">
        <f>IF(AND(C173&lt;&gt;"",N158&lt;&gt;""),(M160/F160*E158+M161/F161*D158)/(C173+U160),"")</f>
        <v>1.2669945111938887</v>
      </c>
      <c r="G173" s="1">
        <f>IF(C173,IF(AND(F160&lt;&gt;0,C158&lt;&gt;0),M161,M161/F161*D158)/(C173+U161),"")</f>
        <v>1.9473684210526316</v>
      </c>
      <c r="H173" s="1">
        <f>IF(C173,(M162)/(C173+U162),"")</f>
        <v>0.77830940988835728</v>
      </c>
      <c r="I173" s="1">
        <f>IF(C173,(M163)/(C173+U163),"")</f>
        <v>0.45132743362831856</v>
      </c>
      <c r="J173" s="1">
        <f>IF(C173,(M164)/(C173+U164),"")</f>
        <v>0</v>
      </c>
      <c r="K173" s="14">
        <f>IF(AND(C173&lt;&gt;"",N158&lt;&gt;""),9.8*N158*LN((C173+U160)/(C173+V160)),"")</f>
        <v>3605.1296859844265</v>
      </c>
      <c r="L173" s="1">
        <f>IF(C173,9.8*F161*LN((C173+U161)/(C173+V161)),"")</f>
        <v>543.45922904360339</v>
      </c>
      <c r="M173" s="1">
        <f>IF(C173,9.8*F162*LN((C173+U162)/(C173+V162)),"")</f>
        <v>5509.6236213374023</v>
      </c>
      <c r="N173" s="1">
        <f>IF(C173,9.8*F163*LN((C173+U163)/(C173+V163)),"")</f>
        <v>3383.3101809799859</v>
      </c>
      <c r="O173" s="1">
        <f>IF(C173,9.8*F164*LN((C173+U164)/(C173+V164)),"")</f>
        <v>0</v>
      </c>
      <c r="P173" s="15">
        <f>IF(C173,SUM(K173:O173),"")</f>
        <v>13041.522717345419</v>
      </c>
      <c r="Q173" s="1"/>
      <c r="R173" s="1"/>
      <c r="S173" s="1"/>
      <c r="T173" s="32" t="str">
        <f t="shared" si="53"/>
        <v/>
      </c>
      <c r="U173" s="1"/>
      <c r="V173" s="1"/>
    </row>
    <row r="174" spans="1:22" ht="15" thickBot="1">
      <c r="A174" s="48" t="s">
        <v>46</v>
      </c>
      <c r="B174" s="49" t="s">
        <v>33</v>
      </c>
      <c r="C174" s="50"/>
      <c r="D174" s="25" t="str">
        <f>IF(C174,C174+Q160,"")</f>
        <v/>
      </c>
      <c r="E174" s="73" t="str">
        <f t="shared" si="52"/>
        <v/>
      </c>
      <c r="F174" s="70" t="str">
        <f>IF(AND(C174&lt;&gt;"",N158&lt;&gt;""),(M160/F160*E158+M161/F161*D158)/(C174+U160),"")</f>
        <v/>
      </c>
      <c r="G174" s="25" t="str">
        <f>IF(C174,IF(AND(F160&lt;&gt;0,C158&lt;&gt;0),M161,M161/F161*D158)/(C174+U161),"")</f>
        <v/>
      </c>
      <c r="H174" s="25" t="str">
        <f>IF(C174,(M162)/(C174+U162),"")</f>
        <v/>
      </c>
      <c r="I174" s="25" t="str">
        <f>IF(C174,(M163)/(C174+U163),"")</f>
        <v/>
      </c>
      <c r="J174" s="25" t="str">
        <f>IF(C174,(M164)/(C174+U164),"")</f>
        <v/>
      </c>
      <c r="K174" s="70" t="str">
        <f>IF(AND(C174&lt;&gt;"",N158&lt;&gt;""),9.8*N158*LN((C174+U160)/(C174+V160)),"")</f>
        <v/>
      </c>
      <c r="L174" s="25" t="str">
        <f>IF(C174,9.8*F161*LN((C174+U161)/(C174+V161)),"")</f>
        <v/>
      </c>
      <c r="M174" s="25" t="str">
        <f>IF(C174,9.8*F162*LN((C174+U162)/(C174+V162)),"")</f>
        <v/>
      </c>
      <c r="N174" s="25" t="str">
        <f>IF(C174,9.8*F163*LN((C174+U163)/(C174+V163)),"")</f>
        <v/>
      </c>
      <c r="O174" s="25" t="str">
        <f>IF(C174,9.8*F164*LN((C174+U164)/(C174+V164)),"")</f>
        <v/>
      </c>
      <c r="P174" s="71" t="str">
        <f>IF(C174,SUM(K174:O174),"")</f>
        <v/>
      </c>
      <c r="Q174" s="25"/>
      <c r="R174" s="25"/>
      <c r="S174" s="25"/>
      <c r="T174" s="51" t="str">
        <f t="shared" si="53"/>
        <v/>
      </c>
      <c r="U174" s="25"/>
      <c r="V174" s="25"/>
    </row>
    <row r="175" spans="1:22" ht="15" thickBot="1"/>
    <row r="176" spans="1:22" ht="15" thickBot="1">
      <c r="A176" s="52" t="s">
        <v>495</v>
      </c>
      <c r="B176" s="52"/>
      <c r="C176" s="29" t="s">
        <v>0</v>
      </c>
      <c r="D176" s="90" t="s">
        <v>41</v>
      </c>
      <c r="E176" s="90"/>
      <c r="F176" s="43"/>
      <c r="G176" s="43"/>
      <c r="H176" s="43"/>
      <c r="I176" s="86" t="s">
        <v>42</v>
      </c>
      <c r="J176" s="86"/>
      <c r="K176" s="86"/>
      <c r="L176" s="54" t="s">
        <v>70</v>
      </c>
      <c r="M176" s="86" t="s">
        <v>71</v>
      </c>
      <c r="N176" s="86"/>
      <c r="O176" s="87"/>
      <c r="P176" s="29" t="s">
        <v>49</v>
      </c>
      <c r="Q176" s="34" t="str">
        <f>IF(OR(P180&lt;P179,T180&lt;T179),"芯级燃烧时间不得小于助推燃烧时间！","")</f>
        <v/>
      </c>
      <c r="R176" s="44"/>
      <c r="S176" s="45"/>
      <c r="T176" s="29"/>
      <c r="U176" s="46" t="s">
        <v>45</v>
      </c>
      <c r="V176" s="46" t="s">
        <v>48</v>
      </c>
    </row>
    <row r="177" spans="1:22" ht="15" thickBot="1">
      <c r="A177" s="40" t="s">
        <v>496</v>
      </c>
      <c r="B177" s="39"/>
      <c r="C177" s="2">
        <v>0</v>
      </c>
      <c r="D177" s="2">
        <v>302</v>
      </c>
      <c r="E177" s="2">
        <v>0</v>
      </c>
      <c r="F177" s="41"/>
      <c r="G177" s="42"/>
      <c r="H177" s="42"/>
      <c r="I177" s="24" t="s">
        <v>522</v>
      </c>
      <c r="J177" s="24"/>
      <c r="K177" s="24"/>
      <c r="L177" s="55">
        <f>IFERROR(IF(AND(F179&lt;&gt;0,C177&lt;&gt;0),M179/F179*E177+M180/F180*D177,M180/F180*D177),0)</f>
        <v>892.5976331360946</v>
      </c>
      <c r="M177" s="53" t="s">
        <v>45</v>
      </c>
      <c r="N177" s="17" t="str">
        <f>IF(AND(F179&lt;&gt;0,C177&lt;&gt;0),(M179+M180)/(M179/F179+M180/F180),"")</f>
        <v/>
      </c>
      <c r="O177" s="56" t="s">
        <v>46</v>
      </c>
      <c r="P177" s="89" t="s">
        <v>17</v>
      </c>
      <c r="Q177" s="89"/>
      <c r="R177" s="91"/>
      <c r="S177" s="88" t="s">
        <v>18</v>
      </c>
      <c r="T177" s="89"/>
      <c r="U177" s="89"/>
      <c r="V177" s="89"/>
    </row>
    <row r="178" spans="1:22" ht="15" thickBot="1">
      <c r="A178" s="33" t="s">
        <v>45</v>
      </c>
      <c r="B178" s="26" t="s">
        <v>39</v>
      </c>
      <c r="C178" s="1" t="s">
        <v>60</v>
      </c>
      <c r="D178" s="1" t="s">
        <v>61</v>
      </c>
      <c r="E178" s="1" t="s">
        <v>62</v>
      </c>
      <c r="F178" s="1" t="s">
        <v>63</v>
      </c>
      <c r="G178" s="1" t="s">
        <v>64</v>
      </c>
      <c r="H178" s="1" t="s">
        <v>65</v>
      </c>
      <c r="I178" s="24"/>
      <c r="J178" s="24"/>
      <c r="K178" s="24"/>
      <c r="L178" s="11" t="s">
        <v>6</v>
      </c>
      <c r="M178" s="12" t="s">
        <v>69</v>
      </c>
      <c r="N178" s="12" t="s">
        <v>15</v>
      </c>
      <c r="O178" s="13" t="s">
        <v>14</v>
      </c>
      <c r="P178" s="14" t="s">
        <v>12</v>
      </c>
      <c r="Q178" s="1" t="s">
        <v>10</v>
      </c>
      <c r="R178" s="15" t="s">
        <v>11</v>
      </c>
      <c r="S178" s="14" t="s">
        <v>13</v>
      </c>
      <c r="T178" s="1" t="s">
        <v>16</v>
      </c>
      <c r="U178" s="1" t="s">
        <v>10</v>
      </c>
      <c r="V178" s="1" t="s">
        <v>11</v>
      </c>
    </row>
    <row r="179" spans="1:22">
      <c r="A179" s="40"/>
      <c r="B179" s="27" t="s">
        <v>3</v>
      </c>
      <c r="C179" s="3"/>
      <c r="D179" s="4"/>
      <c r="E179" s="4"/>
      <c r="F179" s="4"/>
      <c r="G179" s="19"/>
      <c r="H179" s="20"/>
      <c r="I179" s="24"/>
      <c r="J179" s="24"/>
      <c r="K179" s="24"/>
      <c r="L179" s="14">
        <f>C179*C177</f>
        <v>0</v>
      </c>
      <c r="M179" s="1">
        <f>E179*C177</f>
        <v>0</v>
      </c>
      <c r="N179" s="1">
        <f>IF(D179,L179/D179,0)</f>
        <v>0</v>
      </c>
      <c r="O179" s="15">
        <f>L179-N179</f>
        <v>0</v>
      </c>
      <c r="P179" s="14">
        <f>IF(AND(F179&lt;&gt;0,C177&lt;&gt;0),O179/M179*F179/IF(G179,G179,1),0)</f>
        <v>0</v>
      </c>
      <c r="Q179" s="1">
        <f>SUM(L179:L183)</f>
        <v>680</v>
      </c>
      <c r="R179" s="15">
        <f>N179+Q180</f>
        <v>680</v>
      </c>
      <c r="S179" s="14">
        <f>N179+H179*O179</f>
        <v>0</v>
      </c>
      <c r="T179" s="1">
        <f>IF(AND(F179&lt;&gt;0,C177&lt;&gt;0),(1-H179)*O179/M179*F179/IF(G179,G179,1),0)</f>
        <v>0</v>
      </c>
      <c r="U179" s="1">
        <f>SUM(L179:L183)</f>
        <v>680</v>
      </c>
      <c r="V179" s="1">
        <f>S179+U180</f>
        <v>680</v>
      </c>
    </row>
    <row r="180" spans="1:22">
      <c r="A180" s="47"/>
      <c r="B180" s="27">
        <v>1</v>
      </c>
      <c r="C180" s="5">
        <v>550</v>
      </c>
      <c r="D180" s="1">
        <v>16</v>
      </c>
      <c r="E180" s="1">
        <v>999</v>
      </c>
      <c r="F180" s="1">
        <v>338</v>
      </c>
      <c r="G180" s="5">
        <v>1</v>
      </c>
      <c r="H180" s="21">
        <v>0.11</v>
      </c>
      <c r="I180" s="30" t="s">
        <v>100</v>
      </c>
      <c r="J180" s="30"/>
      <c r="K180" s="30"/>
      <c r="L180" s="14">
        <f>C180</f>
        <v>550</v>
      </c>
      <c r="M180" s="1">
        <f>E180</f>
        <v>999</v>
      </c>
      <c r="N180" s="1">
        <f>IF(D180,L180/D180,0)</f>
        <v>34.375</v>
      </c>
      <c r="O180" s="15">
        <f>L180-N180</f>
        <v>515.625</v>
      </c>
      <c r="P180" s="14">
        <f t="shared" ref="P180:P183" si="54">IF(F180,O180/M180*F180/IF(G180,G180,1),0)</f>
        <v>174.45570570570572</v>
      </c>
      <c r="Q180" s="1">
        <f>IF(F180,SUM(L180:L183)-P179*M180/F180*IF(G180,G180,1),0)</f>
        <v>680</v>
      </c>
      <c r="R180" s="15">
        <f>N180+Q181</f>
        <v>164.375</v>
      </c>
      <c r="S180" s="14">
        <f>N180+H180*O180</f>
        <v>91.09375</v>
      </c>
      <c r="T180" s="1">
        <f>IF(F180,(1-H180)*O180/M180*F180/IF(G180,G180,1),0)</f>
        <v>155.26557807807808</v>
      </c>
      <c r="U180" s="1">
        <f>IF(F180,SUM(L180:L183)-T179*M180/F180*IF(G180,G180,1),0)</f>
        <v>680</v>
      </c>
      <c r="V180" s="1">
        <f>S180+U181</f>
        <v>221.09375</v>
      </c>
    </row>
    <row r="181" spans="1:22">
      <c r="A181" s="47"/>
      <c r="B181" s="27">
        <v>2</v>
      </c>
      <c r="C181" s="5">
        <v>130</v>
      </c>
      <c r="D181" s="1">
        <v>7</v>
      </c>
      <c r="E181" s="1">
        <v>122</v>
      </c>
      <c r="F181" s="1">
        <v>445</v>
      </c>
      <c r="G181" s="5"/>
      <c r="H181" s="21"/>
      <c r="I181" s="30" t="s">
        <v>429</v>
      </c>
      <c r="J181" s="30"/>
      <c r="K181" s="30"/>
      <c r="L181" s="14">
        <f>C181</f>
        <v>130</v>
      </c>
      <c r="M181" s="1">
        <f>E181</f>
        <v>122</v>
      </c>
      <c r="N181" s="1">
        <f>IF(D181,L181/D181,0)</f>
        <v>18.571428571428573</v>
      </c>
      <c r="O181" s="15">
        <f>L181-N181</f>
        <v>111.42857142857143</v>
      </c>
      <c r="P181" s="14">
        <f t="shared" si="54"/>
        <v>406.44028103044496</v>
      </c>
      <c r="Q181" s="1">
        <f>SUM(L181:L183)</f>
        <v>130</v>
      </c>
      <c r="R181" s="15">
        <f>N181+Q182</f>
        <v>18.571428571428573</v>
      </c>
      <c r="S181" s="14">
        <f>N181+H181*O181</f>
        <v>18.571428571428573</v>
      </c>
      <c r="T181" s="1">
        <f t="shared" ref="T181:T183" si="55">IF(F181,(1-H181)*O181/M181*F181/IF(G181,G181,1),0)</f>
        <v>406.44028103044496</v>
      </c>
      <c r="U181" s="1">
        <f>SUM(L181:L183)</f>
        <v>130</v>
      </c>
      <c r="V181" s="1">
        <f>S181+U182</f>
        <v>18.571428571428573</v>
      </c>
    </row>
    <row r="182" spans="1:22">
      <c r="A182" s="33" t="s">
        <v>45</v>
      </c>
      <c r="B182" s="27">
        <v>3</v>
      </c>
      <c r="C182" s="5"/>
      <c r="D182" s="1"/>
      <c r="E182" s="1"/>
      <c r="F182" s="1"/>
      <c r="G182" s="5"/>
      <c r="H182" s="21"/>
      <c r="I182" s="30"/>
      <c r="J182" s="30"/>
      <c r="K182" s="30"/>
      <c r="L182" s="14">
        <f>C182</f>
        <v>0</v>
      </c>
      <c r="M182" s="1">
        <f>E182</f>
        <v>0</v>
      </c>
      <c r="N182" s="1">
        <f>IF(D182,L182/D182,0)</f>
        <v>0</v>
      </c>
      <c r="O182" s="15">
        <f>L182-N182</f>
        <v>0</v>
      </c>
      <c r="P182" s="14">
        <f t="shared" si="54"/>
        <v>0</v>
      </c>
      <c r="Q182" s="1">
        <f>SUM(L182:L183)</f>
        <v>0</v>
      </c>
      <c r="R182" s="15">
        <f>N182+Q183</f>
        <v>0</v>
      </c>
      <c r="S182" s="14">
        <f>N182+H182*O182</f>
        <v>0</v>
      </c>
      <c r="T182" s="1">
        <f t="shared" si="55"/>
        <v>0</v>
      </c>
      <c r="U182" s="1">
        <f>SUM(L182:L183)</f>
        <v>0</v>
      </c>
      <c r="V182" s="1">
        <f>S182+U183</f>
        <v>0</v>
      </c>
    </row>
    <row r="183" spans="1:22" ht="15" thickBot="1">
      <c r="A183" s="40"/>
      <c r="B183" s="28">
        <v>4</v>
      </c>
      <c r="C183" s="6"/>
      <c r="D183" s="7"/>
      <c r="E183" s="7"/>
      <c r="F183" s="7"/>
      <c r="G183" s="22"/>
      <c r="H183" s="23"/>
      <c r="I183" s="24"/>
      <c r="J183" s="24"/>
      <c r="K183" s="24"/>
      <c r="L183" s="16">
        <f>C183</f>
        <v>0</v>
      </c>
      <c r="M183" s="17">
        <f>E183</f>
        <v>0</v>
      </c>
      <c r="N183" s="17">
        <f>IF(D183,L183/D183,0)</f>
        <v>0</v>
      </c>
      <c r="O183" s="18">
        <f>L183-N183</f>
        <v>0</v>
      </c>
      <c r="P183" s="14">
        <f t="shared" si="54"/>
        <v>0</v>
      </c>
      <c r="Q183" s="17">
        <f>SUM(L183:L183)</f>
        <v>0</v>
      </c>
      <c r="R183" s="18">
        <f>N183</f>
        <v>0</v>
      </c>
      <c r="S183" s="16">
        <f>N183+H183*O183</f>
        <v>0</v>
      </c>
      <c r="T183" s="17">
        <f t="shared" si="55"/>
        <v>0</v>
      </c>
      <c r="U183" s="17">
        <f>SUM(L183:L183)</f>
        <v>0</v>
      </c>
      <c r="V183" s="17">
        <f>S183</f>
        <v>0</v>
      </c>
    </row>
    <row r="184" spans="1:22" ht="15" thickBot="1">
      <c r="A184" s="47"/>
      <c r="B184" s="26" t="s">
        <v>38</v>
      </c>
      <c r="C184" s="1" t="s">
        <v>4</v>
      </c>
      <c r="D184" s="1" t="s">
        <v>28</v>
      </c>
      <c r="E184" s="1" t="s">
        <v>265</v>
      </c>
      <c r="F184" s="69" t="s">
        <v>40</v>
      </c>
      <c r="G184" s="1" t="s">
        <v>29</v>
      </c>
      <c r="H184" s="1" t="s">
        <v>23</v>
      </c>
      <c r="I184" s="12" t="s">
        <v>24</v>
      </c>
      <c r="J184" s="12" t="s">
        <v>25</v>
      </c>
      <c r="K184" s="11" t="s">
        <v>19</v>
      </c>
      <c r="L184" s="12" t="s">
        <v>26</v>
      </c>
      <c r="M184" s="12" t="s">
        <v>20</v>
      </c>
      <c r="N184" s="12" t="s">
        <v>21</v>
      </c>
      <c r="O184" s="12" t="s">
        <v>22</v>
      </c>
      <c r="P184" s="13" t="s">
        <v>27</v>
      </c>
      <c r="Q184" s="85" t="s">
        <v>42</v>
      </c>
      <c r="R184" s="85"/>
      <c r="S184" s="85"/>
      <c r="T184" s="31" t="s">
        <v>50</v>
      </c>
      <c r="U184" s="35" t="s">
        <v>47</v>
      </c>
      <c r="V184" s="36" t="s">
        <v>264</v>
      </c>
    </row>
    <row r="185" spans="1:22">
      <c r="A185" s="47"/>
      <c r="B185" s="27" t="s">
        <v>30</v>
      </c>
      <c r="C185" s="8">
        <v>25</v>
      </c>
      <c r="D185" s="1">
        <f>IF(C185,C185+Q179,"")</f>
        <v>705</v>
      </c>
      <c r="E185" s="72">
        <f>IF(C185,C185/D185,"")</f>
        <v>3.5460992907801421E-2</v>
      </c>
      <c r="F185" s="14" t="str">
        <f>IF(AND(C185&lt;&gt;"",N177&lt;&gt;""),(M179/F179*E177+M180/F180*D177)/(C185+Q179),"")</f>
        <v/>
      </c>
      <c r="G185" s="1">
        <f>IF(C185,IF(AND(F179&lt;&gt;0,C177&lt;&gt;0),M180,M180/F180*D177)/(C185+Q180),"")</f>
        <v>1.2660959335263753</v>
      </c>
      <c r="H185" s="1">
        <f>IF(C185,(M181)/(C185+Q181),"")</f>
        <v>0.7870967741935484</v>
      </c>
      <c r="I185" s="1">
        <f>IF(C185,(M182)/(C185+Q182),"")</f>
        <v>0</v>
      </c>
      <c r="J185" s="1">
        <f>IF(C185,(M183)/(C185+Q183),"")</f>
        <v>0</v>
      </c>
      <c r="K185" s="14" t="str">
        <f>IF(AND(C185&lt;&gt;"",N177&lt;&gt;""),9.8*N177*LN((C185+Q179)/(C185+R179)),"")</f>
        <v/>
      </c>
      <c r="L185" s="1">
        <f>IF(C185,9.8*F180*LN((C185+Q180)/(C185+R180)),"")</f>
        <v>4354.0458785796991</v>
      </c>
      <c r="M185" s="1">
        <f>IF(C185,9.8*F181*LN((C185+Q181)/(C185+R181)),"")</f>
        <v>5534.2114371301341</v>
      </c>
      <c r="N185" s="1">
        <f>IF(C185,9.8*F182*LN((C185+Q182)/(C185+R182)),"")</f>
        <v>0</v>
      </c>
      <c r="O185" s="1">
        <f>IF(C185,9.8*F183*LN((C185+Q183)/(C185+R183)),"")</f>
        <v>0</v>
      </c>
      <c r="P185" s="15">
        <f>IF(C185,SUM(K185:O185),"")</f>
        <v>9888.2573157098341</v>
      </c>
      <c r="Q185" s="1"/>
      <c r="R185" s="1"/>
      <c r="S185" s="1"/>
      <c r="T185" s="32" t="str">
        <f>IF(OR(F185&lt;1,AND(F185="",G185&lt;1)),"起飞推重比不得小于0，空天飞机除外","")</f>
        <v/>
      </c>
      <c r="U185" s="1"/>
      <c r="V185" s="1"/>
    </row>
    <row r="186" spans="1:22">
      <c r="A186" s="33" t="s">
        <v>47</v>
      </c>
      <c r="B186" s="27" t="s">
        <v>31</v>
      </c>
      <c r="C186" s="9">
        <v>6</v>
      </c>
      <c r="D186" s="1">
        <f>IF(C186,C186+Q179,"")</f>
        <v>686</v>
      </c>
      <c r="E186" s="72">
        <f t="shared" ref="E186:E188" si="56">IF(C186,C186/D186,"")</f>
        <v>8.7463556851311956E-3</v>
      </c>
      <c r="F186" s="14" t="str">
        <f>IF(AND(C186&lt;&gt;"",N177&lt;&gt;""),(M179/F179*E177+M180/F180*D177)/(C186+Q179),"")</f>
        <v/>
      </c>
      <c r="G186" s="1">
        <f>IF(C186,IF(AND(F179&lt;&gt;0,C177&lt;&gt;0),M180,M180/F180*D177)/(C186+Q180),"")</f>
        <v>1.3011627305190883</v>
      </c>
      <c r="H186" s="1">
        <f>IF(C186,(M181)/(C186+Q181),"")</f>
        <v>0.8970588235294118</v>
      </c>
      <c r="I186" s="1">
        <f>IF(C186,(M182)/(C186+Q182),"")</f>
        <v>0</v>
      </c>
      <c r="J186" s="1">
        <f>IF(C186,(M183)/(C186+Q183),"")</f>
        <v>0</v>
      </c>
      <c r="K186" s="14" t="str">
        <f>IF(AND(C186&lt;&gt;"",N177&lt;&gt;""),9.8*N177*LN((C186+Q179)/(C186+R179)),"")</f>
        <v/>
      </c>
      <c r="L186" s="1">
        <f>IF(C186,9.8*F180*LN((C186+Q180)/(C186+R180)),"")</f>
        <v>4613.7615935879166</v>
      </c>
      <c r="M186" s="1">
        <f>IF(C186,9.8*F181*LN((C186+Q181)/(C186+R181)),"")</f>
        <v>7461.9787033416751</v>
      </c>
      <c r="N186" s="1">
        <f>IF(C186,9.8*F182*LN((C186+Q182)/(C186+R182)),"")</f>
        <v>0</v>
      </c>
      <c r="O186" s="1">
        <f>IF(C186,9.8*F183*LN((C186+Q183)/(C186+R183)),"")</f>
        <v>0</v>
      </c>
      <c r="P186" s="15">
        <f>IF(C186,SUM(K186:O186),"")</f>
        <v>12075.740296929591</v>
      </c>
      <c r="Q186" s="1"/>
      <c r="R186" s="1"/>
      <c r="S186" s="1"/>
      <c r="T186" s="32" t="str">
        <f t="shared" ref="T186:T188" si="57">IF(OR(F186&lt;1,AND(F186="",G186&lt;1)),"起飞推重比不得小于0，空天飞机除外","")</f>
        <v/>
      </c>
      <c r="U186" s="1"/>
      <c r="V186" s="1"/>
    </row>
    <row r="187" spans="1:22">
      <c r="A187" s="40"/>
      <c r="B187" s="27" t="s">
        <v>36</v>
      </c>
      <c r="C187" s="9"/>
      <c r="D187" s="1" t="str">
        <f>IF(C187,C187+Q179,"")</f>
        <v/>
      </c>
      <c r="E187" s="72" t="str">
        <f t="shared" si="56"/>
        <v/>
      </c>
      <c r="F187" s="14" t="str">
        <f>IF(AND(C187&lt;&gt;"",N177&lt;&gt;""),(M179/F179*E177+M180/F180*D177)/(C187+Q179),"")</f>
        <v/>
      </c>
      <c r="G187" s="1" t="str">
        <f>IF(C187,IF(AND(F179&lt;&gt;0,C177&lt;&gt;0),M180,M180/F180*D177)/(C187+Q180),"")</f>
        <v/>
      </c>
      <c r="H187" s="1" t="str">
        <f>IF(C187,(M181)/(C187+Q181),"")</f>
        <v/>
      </c>
      <c r="I187" s="1" t="str">
        <f>IF(C187,(M182)/(C187+Q182),"")</f>
        <v/>
      </c>
      <c r="J187" s="1" t="str">
        <f>IF(C187,(M183)/(C187+Q183),"")</f>
        <v/>
      </c>
      <c r="K187" s="14" t="str">
        <f>IF(AND(C187&lt;&gt;"",N177&lt;&gt;""),9.8*N177*LN((C187+Q179)/(C187+R179)),"")</f>
        <v/>
      </c>
      <c r="L187" s="1" t="str">
        <f>IF(C187,9.8*F180*LN((C187+Q180)/(C187+R180)),"")</f>
        <v/>
      </c>
      <c r="M187" s="1" t="str">
        <f>IF(C187,9.8*F181*LN((C187+Q181)/(C187+R181)),"")</f>
        <v/>
      </c>
      <c r="N187" s="1" t="str">
        <f>IF(C187,9.8*F182*LN((C187+Q182)/(C187+R182)),"")</f>
        <v/>
      </c>
      <c r="O187" s="1" t="str">
        <f>IF(C187,9.8*F183*LN((C187+Q183)/(C187+R183)),"")</f>
        <v/>
      </c>
      <c r="P187" s="15" t="str">
        <f>IF(C187,SUM(K187:O187),"")</f>
        <v/>
      </c>
      <c r="Q187" s="1"/>
      <c r="R187" s="1"/>
      <c r="S187" s="1"/>
      <c r="T187" s="32" t="str">
        <f t="shared" si="57"/>
        <v/>
      </c>
      <c r="U187" s="1"/>
      <c r="V187" s="1"/>
    </row>
    <row r="188" spans="1:22" ht="15" thickBot="1">
      <c r="A188" s="47"/>
      <c r="B188" s="28" t="s">
        <v>5</v>
      </c>
      <c r="C188" s="10"/>
      <c r="D188" s="1" t="str">
        <f>IF(C188,C188+Q179,"")</f>
        <v/>
      </c>
      <c r="E188" s="72" t="str">
        <f t="shared" si="56"/>
        <v/>
      </c>
      <c r="F188" s="14" t="str">
        <f>IF(AND(C188&lt;&gt;"",N177&lt;&gt;""),(M179/F179*E177+M180/F180*D177)/(C188+Q179),"")</f>
        <v/>
      </c>
      <c r="G188" s="1" t="str">
        <f>IF(C188,IF(AND(F179&lt;&gt;0,C177&lt;&gt;0),M180,M180/F180*D177)/(C188+Q180),"")</f>
        <v/>
      </c>
      <c r="H188" s="1" t="str">
        <f>IF(C188,(M181)/(C188+Q181),"")</f>
        <v/>
      </c>
      <c r="I188" s="1" t="str">
        <f>IF(C188,(M182)/(C188+Q182),"")</f>
        <v/>
      </c>
      <c r="J188" s="1" t="str">
        <f>IF(C188,(M183)/(C188+Q183),"")</f>
        <v/>
      </c>
      <c r="K188" s="14" t="str">
        <f>IF(AND(C188&lt;&gt;"",N177&lt;&gt;""),9.8*N177*LN((C188+Q179)/(C188+R179)),"")</f>
        <v/>
      </c>
      <c r="L188" s="1" t="str">
        <f>IF(C188,9.8*F180*LN((C188+Q180)/(C188+R180)),"")</f>
        <v/>
      </c>
      <c r="M188" s="1" t="str">
        <f>IF(C188,9.8*F181*LN((C188+Q181)/(C188+R181)),"")</f>
        <v/>
      </c>
      <c r="N188" s="1" t="str">
        <f>IF(C188,9.8*F182*LN((C188+Q182)/(C188+R182)),"")</f>
        <v/>
      </c>
      <c r="O188" s="1" t="str">
        <f>IF(C188,9.8*F183*LN((C188+Q183)/(C188+R183)),"")</f>
        <v/>
      </c>
      <c r="P188" s="15" t="str">
        <f>IF(C188,SUM(K188:O188),"")</f>
        <v/>
      </c>
      <c r="Q188" s="17"/>
      <c r="R188" s="17"/>
      <c r="S188" s="17"/>
      <c r="T188" s="32" t="str">
        <f t="shared" si="57"/>
        <v/>
      </c>
      <c r="U188" s="1"/>
      <c r="V188" s="1"/>
    </row>
    <row r="189" spans="1:22" ht="15" thickBot="1">
      <c r="A189" s="33" t="s">
        <v>45</v>
      </c>
      <c r="B189" s="26" t="s">
        <v>37</v>
      </c>
      <c r="C189" s="1" t="s">
        <v>54</v>
      </c>
      <c r="D189" s="12" t="s">
        <v>28</v>
      </c>
      <c r="E189" s="12" t="s">
        <v>266</v>
      </c>
      <c r="F189" s="11" t="s">
        <v>40</v>
      </c>
      <c r="G189" s="12" t="s">
        <v>29</v>
      </c>
      <c r="H189" s="12" t="s">
        <v>23</v>
      </c>
      <c r="I189" s="12" t="s">
        <v>24</v>
      </c>
      <c r="J189" s="12" t="s">
        <v>25</v>
      </c>
      <c r="K189" s="11" t="s">
        <v>19</v>
      </c>
      <c r="L189" s="12" t="s">
        <v>26</v>
      </c>
      <c r="M189" s="12" t="s">
        <v>20</v>
      </c>
      <c r="N189" s="12" t="s">
        <v>21</v>
      </c>
      <c r="O189" s="12" t="s">
        <v>22</v>
      </c>
      <c r="P189" s="13" t="s">
        <v>27</v>
      </c>
      <c r="Q189" s="85" t="s">
        <v>42</v>
      </c>
      <c r="R189" s="85"/>
      <c r="S189" s="85"/>
      <c r="T189" s="12" t="s">
        <v>51</v>
      </c>
      <c r="U189" s="37" t="s">
        <v>45</v>
      </c>
      <c r="V189" s="38" t="s">
        <v>48</v>
      </c>
    </row>
    <row r="190" spans="1:22">
      <c r="A190" s="40"/>
      <c r="B190" s="27" t="s">
        <v>30</v>
      </c>
      <c r="C190" s="8">
        <v>16</v>
      </c>
      <c r="D190" s="1">
        <f>IF(C190,C190+Q179,"")</f>
        <v>696</v>
      </c>
      <c r="E190" s="72">
        <f>IF(C190,C190/D190,"")</f>
        <v>2.2988505747126436E-2</v>
      </c>
      <c r="F190" s="14" t="str">
        <f>IF(AND(C190&lt;&gt;"",N177&lt;&gt;""),(M179/F179*E177+M180/F180*D177)/(C190+U179),"")</f>
        <v/>
      </c>
      <c r="G190" s="1">
        <f>IF(C190,IF(AND(F179&lt;&gt;0,C177&lt;&gt;0),M180,M180/F180*D177)/(C190+U180),"")</f>
        <v>1.2824678637012854</v>
      </c>
      <c r="H190" s="1">
        <f>IF(C190,(M181)/(C190+U181),"")</f>
        <v>0.83561643835616439</v>
      </c>
      <c r="I190" s="1">
        <f>IF(C190,(M182)/(C190+U182),"")</f>
        <v>0</v>
      </c>
      <c r="J190" s="1">
        <f>IF(C190,(M183)/(C190+U183),"")</f>
        <v>0</v>
      </c>
      <c r="K190" s="14" t="str">
        <f>IF(AND(C190&lt;&gt;"",N177&lt;&gt;""),9.8*N177*LN((C190+U179)/(C190+V179)),"")</f>
        <v/>
      </c>
      <c r="L190" s="1">
        <f>IF(C190,9.8*F180*LN((C190+U180)/(C190+V180)),"")</f>
        <v>3567.1037776717071</v>
      </c>
      <c r="M190" s="1">
        <f>IF(C190,9.8*F181*LN((C190+U181)/(C190+V181)),"")</f>
        <v>6282.3652135309676</v>
      </c>
      <c r="N190" s="1">
        <f>IF(C190,9.8*F182*LN((C190+U182)/(C190+V182)),"")</f>
        <v>0</v>
      </c>
      <c r="O190" s="1">
        <f>IF(C190,9.8*F183*LN((C190+U183)/(C190+V183)),"")</f>
        <v>0</v>
      </c>
      <c r="P190" s="15">
        <f>IF(C190,SUM(K190:O190),"")</f>
        <v>9849.4689912026752</v>
      </c>
      <c r="Q190" s="1"/>
      <c r="R190" s="1"/>
      <c r="S190" s="1"/>
      <c r="T190" s="32" t="str">
        <f>IF(OR(F190&lt;1,AND(F190="",G190&lt;1)),"起飞推重比不得小于0，空天飞机除外","")</f>
        <v/>
      </c>
      <c r="U190" s="1"/>
      <c r="V190" s="1"/>
    </row>
    <row r="191" spans="1:22">
      <c r="A191" s="47"/>
      <c r="B191" s="27" t="s">
        <v>31</v>
      </c>
      <c r="C191" s="9">
        <v>0.7</v>
      </c>
      <c r="D191" s="1">
        <f>IF(C191,C191+Q179,"")</f>
        <v>680.7</v>
      </c>
      <c r="E191" s="72">
        <f t="shared" ref="E191:E193" si="58">IF(C191,C191/D191,"")</f>
        <v>1.0283531658586747E-3</v>
      </c>
      <c r="F191" s="14" t="str">
        <f>IF(AND(C191&lt;&gt;"",N177&lt;&gt;""),(M179/F179*E177+M180/F180*D177)/(C191+U179),"")</f>
        <v/>
      </c>
      <c r="G191" s="1">
        <f>IF(C191,IF(AND(F179&lt;&gt;0,C177&lt;&gt;0),M180,M180/F180*D177)/(C191+U180),"")</f>
        <v>1.3112937169620897</v>
      </c>
      <c r="H191" s="1">
        <f>IF(C191,(M181)/(C191+U181),"")</f>
        <v>0.93343534812547824</v>
      </c>
      <c r="I191" s="1">
        <f>IF(C191,(M182)/(C191+U182),"")</f>
        <v>0</v>
      </c>
      <c r="J191" s="1">
        <f>IF(C191,(M183)/(C191+U183),"")</f>
        <v>0</v>
      </c>
      <c r="K191" s="14" t="str">
        <f>IF(AND(C191&lt;&gt;"",N177&lt;&gt;""),9.8*N177*LN((C191+U179)/(C191+V179)),"")</f>
        <v/>
      </c>
      <c r="L191" s="1">
        <f>IF(C191,9.8*F180*LN((C191+U180)/(C191+V180)),"")</f>
        <v>3714.4385236913008</v>
      </c>
      <c r="M191" s="1">
        <f>IF(C191,9.8*F181*LN((C191+U181)/(C191+V181)),"")</f>
        <v>8348.1794692234289</v>
      </c>
      <c r="N191" s="1">
        <f>IF(C191,9.8*F182*LN((C191+U182)/(C191+V182)),"")</f>
        <v>0</v>
      </c>
      <c r="O191" s="1">
        <f>IF(C191,9.8*F183*LN((C191+U183)/(C191+V183)),"")</f>
        <v>0</v>
      </c>
      <c r="P191" s="15">
        <f>IF(C191,SUM(K191:O191),"")</f>
        <v>12062.617992914729</v>
      </c>
      <c r="Q191" s="1"/>
      <c r="R191" s="1"/>
      <c r="S191" s="1"/>
      <c r="T191" s="32" t="str">
        <f t="shared" ref="T191:T193" si="59">IF(OR(F191&lt;1,AND(F191="",G191&lt;1)),"起飞推重比不得小于0，空天飞机除外","")</f>
        <v/>
      </c>
      <c r="U191" s="1"/>
      <c r="V191" s="1"/>
    </row>
    <row r="192" spans="1:22">
      <c r="A192" s="47"/>
      <c r="B192" s="27" t="s">
        <v>32</v>
      </c>
      <c r="C192" s="9"/>
      <c r="D192" s="1" t="str">
        <f>IF(C192,C192+Q179,"")</f>
        <v/>
      </c>
      <c r="E192" s="72" t="str">
        <f t="shared" si="58"/>
        <v/>
      </c>
      <c r="F192" s="14" t="str">
        <f>IF(AND(C192&lt;&gt;"",N177&lt;&gt;""),(M179/F179*E177+M180/F180*D177)/(C192+U179),"")</f>
        <v/>
      </c>
      <c r="G192" s="1" t="str">
        <f>IF(C192,IF(AND(F179&lt;&gt;0,C177&lt;&gt;0),M180,M180/F180*D177)/(C192+U180),"")</f>
        <v/>
      </c>
      <c r="H192" s="1" t="str">
        <f>IF(C192,(M181)/(C192+U181),"")</f>
        <v/>
      </c>
      <c r="I192" s="1" t="str">
        <f>IF(C192,(M182)/(C192+U182),"")</f>
        <v/>
      </c>
      <c r="J192" s="1" t="str">
        <f>IF(C192,(M183)/(C192+U183),"")</f>
        <v/>
      </c>
      <c r="K192" s="14" t="str">
        <f>IF(AND(C192&lt;&gt;"",N177&lt;&gt;""),9.8*N177*LN((C192+U179)/(C192+V179)),"")</f>
        <v/>
      </c>
      <c r="L192" s="1" t="str">
        <f>IF(C192,9.8*F180*LN((C192+U180)/(C192+V180)),"")</f>
        <v/>
      </c>
      <c r="M192" s="1" t="str">
        <f>IF(C192,9.8*F181*LN((C192+U181)/(C192+V181)),"")</f>
        <v/>
      </c>
      <c r="N192" s="1" t="str">
        <f>IF(C192,9.8*F182*LN((C192+U182)/(C192+V182)),"")</f>
        <v/>
      </c>
      <c r="O192" s="1" t="str">
        <f>IF(C192,9.8*F183*LN((C192+U183)/(C192+V183)),"")</f>
        <v/>
      </c>
      <c r="P192" s="15" t="str">
        <f>IF(C192,SUM(K192:O192),"")</f>
        <v/>
      </c>
      <c r="Q192" s="1"/>
      <c r="R192" s="1"/>
      <c r="S192" s="1"/>
      <c r="T192" s="32" t="str">
        <f t="shared" si="59"/>
        <v/>
      </c>
      <c r="U192" s="1"/>
      <c r="V192" s="1"/>
    </row>
    <row r="193" spans="1:22" ht="15" thickBot="1">
      <c r="A193" s="48" t="s">
        <v>46</v>
      </c>
      <c r="B193" s="49" t="s">
        <v>33</v>
      </c>
      <c r="C193" s="50"/>
      <c r="D193" s="25" t="str">
        <f>IF(C193,C193+Q179,"")</f>
        <v/>
      </c>
      <c r="E193" s="73" t="str">
        <f t="shared" si="58"/>
        <v/>
      </c>
      <c r="F193" s="70" t="str">
        <f>IF(AND(C193&lt;&gt;"",N177&lt;&gt;""),(M179/F179*E177+M180/F180*D177)/(C193+U179),"")</f>
        <v/>
      </c>
      <c r="G193" s="25" t="str">
        <f>IF(C193,IF(AND(F179&lt;&gt;0,C177&lt;&gt;0),M180,M180/F180*D177)/(C193+U180),"")</f>
        <v/>
      </c>
      <c r="H193" s="25" t="str">
        <f>IF(C193,(M181)/(C193+U181),"")</f>
        <v/>
      </c>
      <c r="I193" s="25" t="str">
        <f>IF(C193,(M182)/(C193+U182),"")</f>
        <v/>
      </c>
      <c r="J193" s="25" t="str">
        <f>IF(C193,(M183)/(C193+U183),"")</f>
        <v/>
      </c>
      <c r="K193" s="70" t="str">
        <f>IF(AND(C193&lt;&gt;"",N177&lt;&gt;""),9.8*N177*LN((C193+U179)/(C193+V179)),"")</f>
        <v/>
      </c>
      <c r="L193" s="25" t="str">
        <f>IF(C193,9.8*F180*LN((C193+U180)/(C193+V180)),"")</f>
        <v/>
      </c>
      <c r="M193" s="25" t="str">
        <f>IF(C193,9.8*F181*LN((C193+U181)/(C193+V181)),"")</f>
        <v/>
      </c>
      <c r="N193" s="25" t="str">
        <f>IF(C193,9.8*F182*LN((C193+U182)/(C193+V182)),"")</f>
        <v/>
      </c>
      <c r="O193" s="25" t="str">
        <f>IF(C193,9.8*F183*LN((C193+U183)/(C193+V183)),"")</f>
        <v/>
      </c>
      <c r="P193" s="71" t="str">
        <f>IF(C193,SUM(K193:O193),"")</f>
        <v/>
      </c>
      <c r="Q193" s="25"/>
      <c r="R193" s="25"/>
      <c r="S193" s="25"/>
      <c r="T193" s="51" t="str">
        <f t="shared" si="59"/>
        <v/>
      </c>
      <c r="U193" s="25"/>
      <c r="V193" s="25"/>
    </row>
    <row r="194" spans="1:22" ht="15" thickBot="1"/>
    <row r="195" spans="1:22" ht="15" thickBot="1">
      <c r="A195" s="52" t="s">
        <v>498</v>
      </c>
      <c r="B195" s="52"/>
      <c r="C195" s="29" t="s">
        <v>0</v>
      </c>
      <c r="D195" s="90" t="s">
        <v>41</v>
      </c>
      <c r="E195" s="90"/>
      <c r="F195" s="43"/>
      <c r="G195" s="43"/>
      <c r="H195" s="43"/>
      <c r="I195" s="86" t="s">
        <v>42</v>
      </c>
      <c r="J195" s="86"/>
      <c r="K195" s="86"/>
      <c r="L195" s="54" t="s">
        <v>70</v>
      </c>
      <c r="M195" s="86" t="s">
        <v>71</v>
      </c>
      <c r="N195" s="86"/>
      <c r="O195" s="87"/>
      <c r="P195" s="29" t="s">
        <v>49</v>
      </c>
      <c r="Q195" s="34" t="str">
        <f>IF(OR(P199&lt;P198,T199&lt;T198),"芯级燃烧时间不得小于助推燃烧时间！","")</f>
        <v/>
      </c>
      <c r="R195" s="44"/>
      <c r="S195" s="45"/>
      <c r="T195" s="29"/>
      <c r="U195" s="46" t="s">
        <v>45</v>
      </c>
      <c r="V195" s="46" t="s">
        <v>48</v>
      </c>
    </row>
    <row r="196" spans="1:22" ht="15" thickBot="1">
      <c r="A196" s="40" t="s">
        <v>499</v>
      </c>
      <c r="B196" s="39"/>
      <c r="C196" s="2">
        <v>0</v>
      </c>
      <c r="D196" s="2">
        <v>302</v>
      </c>
      <c r="E196" s="2">
        <v>0</v>
      </c>
      <c r="F196" s="41"/>
      <c r="G196" s="42"/>
      <c r="H196" s="42"/>
      <c r="I196" s="24" t="s">
        <v>523</v>
      </c>
      <c r="J196" s="24"/>
      <c r="K196" s="24"/>
      <c r="L196" s="55">
        <f>IFERROR(IF(AND(F198&lt;&gt;0,C196&lt;&gt;0),M198/F198*E196+M199/F199*D196,M199/F199*D196),0)</f>
        <v>892.5976331360946</v>
      </c>
      <c r="M196" s="53" t="s">
        <v>45</v>
      </c>
      <c r="N196" s="17" t="str">
        <f>IF(AND(F198&lt;&gt;0,C196&lt;&gt;0),(M198+M199)/(M198/F198+M199/F199),"")</f>
        <v/>
      </c>
      <c r="O196" s="56" t="s">
        <v>46</v>
      </c>
      <c r="P196" s="89" t="s">
        <v>17</v>
      </c>
      <c r="Q196" s="89"/>
      <c r="R196" s="91"/>
      <c r="S196" s="88" t="s">
        <v>18</v>
      </c>
      <c r="T196" s="89"/>
      <c r="U196" s="89"/>
      <c r="V196" s="89"/>
    </row>
    <row r="197" spans="1:22" ht="15" thickBot="1">
      <c r="A197" s="33" t="s">
        <v>45</v>
      </c>
      <c r="B197" s="26" t="s">
        <v>39</v>
      </c>
      <c r="C197" s="1" t="s">
        <v>60</v>
      </c>
      <c r="D197" s="1" t="s">
        <v>61</v>
      </c>
      <c r="E197" s="1" t="s">
        <v>62</v>
      </c>
      <c r="F197" s="1" t="s">
        <v>63</v>
      </c>
      <c r="G197" s="1" t="s">
        <v>64</v>
      </c>
      <c r="H197" s="1" t="s">
        <v>65</v>
      </c>
      <c r="I197" s="24"/>
      <c r="J197" s="24"/>
      <c r="K197" s="24"/>
      <c r="L197" s="11" t="s">
        <v>6</v>
      </c>
      <c r="M197" s="12" t="s">
        <v>69</v>
      </c>
      <c r="N197" s="12" t="s">
        <v>15</v>
      </c>
      <c r="O197" s="13" t="s">
        <v>14</v>
      </c>
      <c r="P197" s="14" t="s">
        <v>12</v>
      </c>
      <c r="Q197" s="1" t="s">
        <v>10</v>
      </c>
      <c r="R197" s="15" t="s">
        <v>11</v>
      </c>
      <c r="S197" s="14" t="s">
        <v>13</v>
      </c>
      <c r="T197" s="1" t="s">
        <v>16</v>
      </c>
      <c r="U197" s="1" t="s">
        <v>10</v>
      </c>
      <c r="V197" s="1" t="s">
        <v>11</v>
      </c>
    </row>
    <row r="198" spans="1:22">
      <c r="A198" s="40"/>
      <c r="B198" s="27" t="s">
        <v>3</v>
      </c>
      <c r="C198" s="3"/>
      <c r="D198" s="4"/>
      <c r="E198" s="4"/>
      <c r="F198" s="4"/>
      <c r="G198" s="19"/>
      <c r="H198" s="20"/>
      <c r="I198" s="24"/>
      <c r="J198" s="24"/>
      <c r="K198" s="24"/>
      <c r="L198" s="14">
        <f>C198*C196</f>
        <v>0</v>
      </c>
      <c r="M198" s="1">
        <f>E198*C196</f>
        <v>0</v>
      </c>
      <c r="N198" s="1">
        <f>IF(D198,L198/D198,0)</f>
        <v>0</v>
      </c>
      <c r="O198" s="15">
        <f>L198-N198</f>
        <v>0</v>
      </c>
      <c r="P198" s="14">
        <f>IF(AND(F198&lt;&gt;0,C196&lt;&gt;0),O198/M198*F198/IF(G198,G198,1),0)</f>
        <v>0</v>
      </c>
      <c r="Q198" s="1">
        <f>SUM(L198:L202)</f>
        <v>705</v>
      </c>
      <c r="R198" s="15">
        <f>N198+Q199</f>
        <v>705</v>
      </c>
      <c r="S198" s="14">
        <f>N198+H198*O198</f>
        <v>0</v>
      </c>
      <c r="T198" s="1">
        <f>IF(AND(F198&lt;&gt;0,C196&lt;&gt;0),(1-H198)*O198/M198*F198/IF(G198,G198,1),0)</f>
        <v>0</v>
      </c>
      <c r="U198" s="1">
        <f>SUM(L198:L202)</f>
        <v>705</v>
      </c>
      <c r="V198" s="1">
        <f>S198+U199</f>
        <v>705</v>
      </c>
    </row>
    <row r="199" spans="1:22">
      <c r="A199" s="47"/>
      <c r="B199" s="27">
        <v>1</v>
      </c>
      <c r="C199" s="5">
        <v>550</v>
      </c>
      <c r="D199" s="1">
        <v>16</v>
      </c>
      <c r="E199" s="1">
        <v>999</v>
      </c>
      <c r="F199" s="1">
        <v>338</v>
      </c>
      <c r="G199" s="5">
        <v>1</v>
      </c>
      <c r="H199" s="21">
        <v>0.10199999999999999</v>
      </c>
      <c r="I199" s="30" t="s">
        <v>100</v>
      </c>
      <c r="J199" s="30"/>
      <c r="K199" s="30"/>
      <c r="L199" s="14">
        <f>C199</f>
        <v>550</v>
      </c>
      <c r="M199" s="1">
        <f>E199</f>
        <v>999</v>
      </c>
      <c r="N199" s="1">
        <f>IF(D199,L199/D199,0)</f>
        <v>34.375</v>
      </c>
      <c r="O199" s="15">
        <f>L199-N199</f>
        <v>515.625</v>
      </c>
      <c r="P199" s="14">
        <f t="shared" ref="P199:P202" si="60">IF(F199,O199/M199*F199/IF(G199,G199,1),0)</f>
        <v>174.45570570570572</v>
      </c>
      <c r="Q199" s="1">
        <f>IF(F199,SUM(L199:L202)-P198*M199/F199*IF(G199,G199,1),0)</f>
        <v>705</v>
      </c>
      <c r="R199" s="15">
        <f>N199+Q200</f>
        <v>189.375</v>
      </c>
      <c r="S199" s="14">
        <f>N199+H199*O199</f>
        <v>86.96875</v>
      </c>
      <c r="T199" s="1">
        <f>IF(F199,(1-H199)*O199/M199*F199/IF(G199,G199,1),0)</f>
        <v>156.66122372372371</v>
      </c>
      <c r="U199" s="1">
        <f>IF(F199,SUM(L199:L202)-T198*M199/F199*IF(G199,G199,1),0)</f>
        <v>705</v>
      </c>
      <c r="V199" s="1">
        <f>S199+U200</f>
        <v>241.96875</v>
      </c>
    </row>
    <row r="200" spans="1:22">
      <c r="A200" s="47"/>
      <c r="B200" s="27">
        <v>2</v>
      </c>
      <c r="C200" s="5">
        <v>120</v>
      </c>
      <c r="D200" s="1">
        <v>13</v>
      </c>
      <c r="E200" s="1">
        <v>140.5</v>
      </c>
      <c r="F200" s="1">
        <v>351</v>
      </c>
      <c r="G200" s="5"/>
      <c r="H200" s="21"/>
      <c r="I200" s="30" t="s">
        <v>524</v>
      </c>
      <c r="J200" s="30"/>
      <c r="K200" s="30"/>
      <c r="L200" s="14">
        <f>C200</f>
        <v>120</v>
      </c>
      <c r="M200" s="1">
        <f>E200</f>
        <v>140.5</v>
      </c>
      <c r="N200" s="1">
        <f>IF(D200,L200/D200,0)</f>
        <v>9.2307692307692299</v>
      </c>
      <c r="O200" s="15">
        <f>L200-N200</f>
        <v>110.76923076923077</v>
      </c>
      <c r="P200" s="14">
        <f t="shared" si="60"/>
        <v>276.72597864768682</v>
      </c>
      <c r="Q200" s="1">
        <f>SUM(L200:L202)</f>
        <v>155</v>
      </c>
      <c r="R200" s="15">
        <f>N200+Q201</f>
        <v>44.230769230769226</v>
      </c>
      <c r="S200" s="14">
        <f>N200+H200*O200</f>
        <v>9.2307692307692299</v>
      </c>
      <c r="T200" s="1">
        <f t="shared" ref="T200:T202" si="61">IF(F200,(1-H200)*O200/M200*F200/IF(G200,G200,1),0)</f>
        <v>276.72597864768682</v>
      </c>
      <c r="U200" s="1">
        <f>SUM(L200:L202)</f>
        <v>155</v>
      </c>
      <c r="V200" s="1">
        <f>S200+U201</f>
        <v>44.230769230769226</v>
      </c>
    </row>
    <row r="201" spans="1:22">
      <c r="A201" s="33" t="s">
        <v>45</v>
      </c>
      <c r="B201" s="27">
        <v>3</v>
      </c>
      <c r="C201" s="5">
        <v>35</v>
      </c>
      <c r="D201" s="1">
        <v>6</v>
      </c>
      <c r="E201" s="1">
        <v>25.5</v>
      </c>
      <c r="F201" s="1">
        <v>456</v>
      </c>
      <c r="G201" s="5"/>
      <c r="H201" s="21"/>
      <c r="I201" s="30" t="s">
        <v>521</v>
      </c>
      <c r="J201" s="30"/>
      <c r="K201" s="30"/>
      <c r="L201" s="14">
        <f>C201</f>
        <v>35</v>
      </c>
      <c r="M201" s="1">
        <f>E201</f>
        <v>25.5</v>
      </c>
      <c r="N201" s="1">
        <f>IF(D201,L201/D201,0)</f>
        <v>5.833333333333333</v>
      </c>
      <c r="O201" s="15">
        <f>L201-N201</f>
        <v>29.166666666666668</v>
      </c>
      <c r="P201" s="14">
        <f t="shared" si="60"/>
        <v>521.56862745098044</v>
      </c>
      <c r="Q201" s="1">
        <f>SUM(L201:L202)</f>
        <v>35</v>
      </c>
      <c r="R201" s="15">
        <f>N201+Q202</f>
        <v>5.833333333333333</v>
      </c>
      <c r="S201" s="14">
        <f>N201+H201*O201</f>
        <v>5.833333333333333</v>
      </c>
      <c r="T201" s="1">
        <f t="shared" si="61"/>
        <v>521.56862745098044</v>
      </c>
      <c r="U201" s="1">
        <f>SUM(L201:L202)</f>
        <v>35</v>
      </c>
      <c r="V201" s="1">
        <f>S201+U202</f>
        <v>5.833333333333333</v>
      </c>
    </row>
    <row r="202" spans="1:22" ht="15" thickBot="1">
      <c r="A202" s="40"/>
      <c r="B202" s="28">
        <v>4</v>
      </c>
      <c r="C202" s="6"/>
      <c r="D202" s="7"/>
      <c r="E202" s="7"/>
      <c r="F202" s="7"/>
      <c r="G202" s="22"/>
      <c r="H202" s="23"/>
      <c r="I202" s="24"/>
      <c r="J202" s="24"/>
      <c r="K202" s="24"/>
      <c r="L202" s="16">
        <f>C202</f>
        <v>0</v>
      </c>
      <c r="M202" s="17">
        <f>E202</f>
        <v>0</v>
      </c>
      <c r="N202" s="17">
        <f>IF(D202,L202/D202,0)</f>
        <v>0</v>
      </c>
      <c r="O202" s="18">
        <f>L202-N202</f>
        <v>0</v>
      </c>
      <c r="P202" s="14">
        <f t="shared" si="60"/>
        <v>0</v>
      </c>
      <c r="Q202" s="17">
        <f>SUM(L202:L202)</f>
        <v>0</v>
      </c>
      <c r="R202" s="18">
        <f>N202</f>
        <v>0</v>
      </c>
      <c r="S202" s="16">
        <f>N202+H202*O202</f>
        <v>0</v>
      </c>
      <c r="T202" s="17">
        <f t="shared" si="61"/>
        <v>0</v>
      </c>
      <c r="U202" s="17">
        <f>SUM(L202:L202)</f>
        <v>0</v>
      </c>
      <c r="V202" s="17">
        <f>S202</f>
        <v>0</v>
      </c>
    </row>
    <row r="203" spans="1:22" ht="15" thickBot="1">
      <c r="A203" s="47"/>
      <c r="B203" s="26" t="s">
        <v>38</v>
      </c>
      <c r="C203" s="1" t="s">
        <v>4</v>
      </c>
      <c r="D203" s="1" t="s">
        <v>28</v>
      </c>
      <c r="E203" s="1" t="s">
        <v>265</v>
      </c>
      <c r="F203" s="69" t="s">
        <v>40</v>
      </c>
      <c r="G203" s="1" t="s">
        <v>29</v>
      </c>
      <c r="H203" s="1" t="s">
        <v>23</v>
      </c>
      <c r="I203" s="12" t="s">
        <v>24</v>
      </c>
      <c r="J203" s="12" t="s">
        <v>25</v>
      </c>
      <c r="K203" s="11" t="s">
        <v>19</v>
      </c>
      <c r="L203" s="12" t="s">
        <v>26</v>
      </c>
      <c r="M203" s="12" t="s">
        <v>20</v>
      </c>
      <c r="N203" s="12" t="s">
        <v>21</v>
      </c>
      <c r="O203" s="12" t="s">
        <v>22</v>
      </c>
      <c r="P203" s="13" t="s">
        <v>27</v>
      </c>
      <c r="Q203" s="85" t="s">
        <v>42</v>
      </c>
      <c r="R203" s="85"/>
      <c r="S203" s="85"/>
      <c r="T203" s="31" t="s">
        <v>50</v>
      </c>
      <c r="U203" s="35" t="s">
        <v>47</v>
      </c>
      <c r="V203" s="36" t="s">
        <v>264</v>
      </c>
    </row>
    <row r="204" spans="1:22">
      <c r="A204" s="47"/>
      <c r="B204" s="27" t="s">
        <v>30</v>
      </c>
      <c r="C204" s="8">
        <v>28</v>
      </c>
      <c r="D204" s="1">
        <f>IF(C204,C204+Q198,"")</f>
        <v>733</v>
      </c>
      <c r="E204" s="72">
        <f>IF(C204,C204/D204,"")</f>
        <v>3.8199181446111868E-2</v>
      </c>
      <c r="F204" s="14" t="str">
        <f>IF(AND(C204&lt;&gt;"",N196&lt;&gt;""),(M198/F198*E196+M199/F199*D196)/(C204+Q198),"")</f>
        <v/>
      </c>
      <c r="G204" s="1">
        <f>IF(C204,IF(AND(F198&lt;&gt;0,C196&lt;&gt;0),M199,M199/F199*D196)/(C204+Q199),"")</f>
        <v>1.2177321052334169</v>
      </c>
      <c r="H204" s="1">
        <f>IF(C204,(M200)/(C204+Q200),"")</f>
        <v>0.76775956284153002</v>
      </c>
      <c r="I204" s="1">
        <f>IF(C204,(M201)/(C204+Q201),"")</f>
        <v>0.40476190476190477</v>
      </c>
      <c r="J204" s="1">
        <f>IF(C204,(M202)/(C204+Q202),"")</f>
        <v>0</v>
      </c>
      <c r="K204" s="14" t="str">
        <f>IF(AND(C204&lt;&gt;"",N196&lt;&gt;""),9.8*N196*LN((C204+Q198)/(C204+R198)),"")</f>
        <v/>
      </c>
      <c r="L204" s="1">
        <f>IF(C204,9.8*F199*LN((C204+Q199)/(C204+R199)),"")</f>
        <v>4026.2941758425063</v>
      </c>
      <c r="M204" s="1">
        <f>IF(C204,9.8*F200*LN((C204+Q200)/(C204+R200)),"")</f>
        <v>3197.7069829595312</v>
      </c>
      <c r="N204" s="1">
        <f>IF(C204,9.8*F201*LN((C204+Q201)/(C204+R201)),"")</f>
        <v>2778.2003022428744</v>
      </c>
      <c r="O204" s="1">
        <f>IF(C204,9.8*F202*LN((C204+Q202)/(C204+R202)),"")</f>
        <v>0</v>
      </c>
      <c r="P204" s="15">
        <f>IF(C204,SUM(K204:O204),"")</f>
        <v>10002.201461044911</v>
      </c>
      <c r="Q204" s="1"/>
      <c r="R204" s="1"/>
      <c r="S204" s="1"/>
      <c r="T204" s="32" t="str">
        <f>IF(OR(F204&lt;1,AND(F204="",G204&lt;1)),"起飞推重比不得小于0，空天飞机除外","")</f>
        <v/>
      </c>
      <c r="U204" s="1"/>
      <c r="V204" s="1"/>
    </row>
    <row r="205" spans="1:22">
      <c r="A205" s="33" t="s">
        <v>47</v>
      </c>
      <c r="B205" s="27" t="s">
        <v>31</v>
      </c>
      <c r="C205" s="9">
        <v>12.8</v>
      </c>
      <c r="D205" s="1">
        <f>IF(C205,C205+Q198,"")</f>
        <v>717.8</v>
      </c>
      <c r="E205" s="72">
        <f t="shared" ref="E205:E207" si="62">IF(C205,C205/D205,"")</f>
        <v>1.7832265254945669E-2</v>
      </c>
      <c r="F205" s="14" t="str">
        <f>IF(AND(C205&lt;&gt;"",N196&lt;&gt;""),(M198/F198*E196+M199/F199*D196)/(C205+Q198),"")</f>
        <v/>
      </c>
      <c r="G205" s="1">
        <f>IF(C205,IF(AND(F198&lt;&gt;0,C196&lt;&gt;0),M199,M199/F199*D196)/(C205+Q199),"")</f>
        <v>1.243518575001525</v>
      </c>
      <c r="H205" s="1">
        <f>IF(C205,(M200)/(C205+Q200),"")</f>
        <v>0.83730631704410008</v>
      </c>
      <c r="I205" s="1">
        <f>IF(C205,(M201)/(C205+Q201),"")</f>
        <v>0.53347280334728031</v>
      </c>
      <c r="J205" s="1">
        <f>IF(C205,(M202)/(C205+Q202),"")</f>
        <v>0</v>
      </c>
      <c r="K205" s="14" t="str">
        <f>IF(AND(C205&lt;&gt;"",N196&lt;&gt;""),9.8*N196*LN((C205+Q198)/(C205+R198)),"")</f>
        <v/>
      </c>
      <c r="L205" s="1">
        <f>IF(C205,9.8*F199*LN((C205+Q199)/(C205+R199)),"")</f>
        <v>4197.0006658790207</v>
      </c>
      <c r="M205" s="1">
        <f>IF(C205,9.8*F200*LN((C205+Q200)/(C205+R200)),"")</f>
        <v>3712.169764704202</v>
      </c>
      <c r="N205" s="1">
        <f>IF(C205,9.8*F201*LN((C205+Q201)/(C205+R201)),"")</f>
        <v>4209.9382713223595</v>
      </c>
      <c r="O205" s="1">
        <f>IF(C205,9.8*F202*LN((C205+Q202)/(C205+R202)),"")</f>
        <v>0</v>
      </c>
      <c r="P205" s="15">
        <f>IF(C205,SUM(K205:O205),"")</f>
        <v>12119.108701905581</v>
      </c>
      <c r="Q205" s="1"/>
      <c r="R205" s="1"/>
      <c r="S205" s="1"/>
      <c r="T205" s="32" t="str">
        <f t="shared" ref="T205:T207" si="63">IF(OR(F205&lt;1,AND(F205="",G205&lt;1)),"起飞推重比不得小于0，空天飞机除外","")</f>
        <v/>
      </c>
      <c r="U205" s="1"/>
      <c r="V205" s="1"/>
    </row>
    <row r="206" spans="1:22">
      <c r="A206" s="40"/>
      <c r="B206" s="27" t="s">
        <v>36</v>
      </c>
      <c r="C206" s="9"/>
      <c r="D206" s="1" t="str">
        <f>IF(C206,C206+Q198,"")</f>
        <v/>
      </c>
      <c r="E206" s="72" t="str">
        <f t="shared" si="62"/>
        <v/>
      </c>
      <c r="F206" s="14" t="str">
        <f>IF(AND(C206&lt;&gt;"",N196&lt;&gt;""),(M198/F198*E196+M199/F199*D196)/(C206+Q198),"")</f>
        <v/>
      </c>
      <c r="G206" s="1" t="str">
        <f>IF(C206,IF(AND(F198&lt;&gt;0,C196&lt;&gt;0),M199,M199/F199*D196)/(C206+Q199),"")</f>
        <v/>
      </c>
      <c r="H206" s="1" t="str">
        <f>IF(C206,(M200)/(C206+Q200),"")</f>
        <v/>
      </c>
      <c r="I206" s="1" t="str">
        <f>IF(C206,(M201)/(C206+Q201),"")</f>
        <v/>
      </c>
      <c r="J206" s="1" t="str">
        <f>IF(C206,(M202)/(C206+Q202),"")</f>
        <v/>
      </c>
      <c r="K206" s="14" t="str">
        <f>IF(AND(C206&lt;&gt;"",N196&lt;&gt;""),9.8*N196*LN((C206+Q198)/(C206+R198)),"")</f>
        <v/>
      </c>
      <c r="L206" s="1" t="str">
        <f>IF(C206,9.8*F199*LN((C206+Q199)/(C206+R199)),"")</f>
        <v/>
      </c>
      <c r="M206" s="1" t="str">
        <f>IF(C206,9.8*F200*LN((C206+Q200)/(C206+R200)),"")</f>
        <v/>
      </c>
      <c r="N206" s="1" t="str">
        <f>IF(C206,9.8*F201*LN((C206+Q201)/(C206+R201)),"")</f>
        <v/>
      </c>
      <c r="O206" s="1" t="str">
        <f>IF(C206,9.8*F202*LN((C206+Q202)/(C206+R202)),"")</f>
        <v/>
      </c>
      <c r="P206" s="15" t="str">
        <f>IF(C206,SUM(K206:O206),"")</f>
        <v/>
      </c>
      <c r="Q206" s="1"/>
      <c r="R206" s="1"/>
      <c r="S206" s="1"/>
      <c r="T206" s="32" t="str">
        <f t="shared" si="63"/>
        <v/>
      </c>
      <c r="U206" s="1"/>
      <c r="V206" s="1"/>
    </row>
    <row r="207" spans="1:22" ht="15" thickBot="1">
      <c r="A207" s="47"/>
      <c r="B207" s="28" t="s">
        <v>5</v>
      </c>
      <c r="C207" s="10"/>
      <c r="D207" s="1" t="str">
        <f>IF(C207,C207+Q198,"")</f>
        <v/>
      </c>
      <c r="E207" s="72" t="str">
        <f t="shared" si="62"/>
        <v/>
      </c>
      <c r="F207" s="14" t="str">
        <f>IF(AND(C207&lt;&gt;"",N196&lt;&gt;""),(M198/F198*E196+M199/F199*D196)/(C207+Q198),"")</f>
        <v/>
      </c>
      <c r="G207" s="1" t="str">
        <f>IF(C207,IF(AND(F198&lt;&gt;0,C196&lt;&gt;0),M199,M199/F199*D196)/(C207+Q199),"")</f>
        <v/>
      </c>
      <c r="H207" s="1" t="str">
        <f>IF(C207,(M200)/(C207+Q200),"")</f>
        <v/>
      </c>
      <c r="I207" s="1" t="str">
        <f>IF(C207,(M201)/(C207+Q201),"")</f>
        <v/>
      </c>
      <c r="J207" s="1" t="str">
        <f>IF(C207,(M202)/(C207+Q202),"")</f>
        <v/>
      </c>
      <c r="K207" s="14" t="str">
        <f>IF(AND(C207&lt;&gt;"",N196&lt;&gt;""),9.8*N196*LN((C207+Q198)/(C207+R198)),"")</f>
        <v/>
      </c>
      <c r="L207" s="1" t="str">
        <f>IF(C207,9.8*F199*LN((C207+Q199)/(C207+R199)),"")</f>
        <v/>
      </c>
      <c r="M207" s="1" t="str">
        <f>IF(C207,9.8*F200*LN((C207+Q200)/(C207+R200)),"")</f>
        <v/>
      </c>
      <c r="N207" s="1" t="str">
        <f>IF(C207,9.8*F201*LN((C207+Q201)/(C207+R201)),"")</f>
        <v/>
      </c>
      <c r="O207" s="1" t="str">
        <f>IF(C207,9.8*F202*LN((C207+Q202)/(C207+R202)),"")</f>
        <v/>
      </c>
      <c r="P207" s="15" t="str">
        <f>IF(C207,SUM(K207:O207),"")</f>
        <v/>
      </c>
      <c r="Q207" s="17"/>
      <c r="R207" s="17"/>
      <c r="S207" s="17"/>
      <c r="T207" s="32" t="str">
        <f t="shared" si="63"/>
        <v/>
      </c>
      <c r="U207" s="1"/>
      <c r="V207" s="1"/>
    </row>
    <row r="208" spans="1:22" ht="15" thickBot="1">
      <c r="A208" s="33" t="s">
        <v>45</v>
      </c>
      <c r="B208" s="26" t="s">
        <v>37</v>
      </c>
      <c r="C208" s="1" t="s">
        <v>54</v>
      </c>
      <c r="D208" s="12" t="s">
        <v>28</v>
      </c>
      <c r="E208" s="12" t="s">
        <v>266</v>
      </c>
      <c r="F208" s="11" t="s">
        <v>40</v>
      </c>
      <c r="G208" s="12" t="s">
        <v>29</v>
      </c>
      <c r="H208" s="12" t="s">
        <v>23</v>
      </c>
      <c r="I208" s="12" t="s">
        <v>24</v>
      </c>
      <c r="J208" s="12" t="s">
        <v>25</v>
      </c>
      <c r="K208" s="11" t="s">
        <v>19</v>
      </c>
      <c r="L208" s="12" t="s">
        <v>26</v>
      </c>
      <c r="M208" s="12" t="s">
        <v>20</v>
      </c>
      <c r="N208" s="12" t="s">
        <v>21</v>
      </c>
      <c r="O208" s="12" t="s">
        <v>22</v>
      </c>
      <c r="P208" s="13" t="s">
        <v>27</v>
      </c>
      <c r="Q208" s="85" t="s">
        <v>42</v>
      </c>
      <c r="R208" s="85"/>
      <c r="S208" s="85"/>
      <c r="T208" s="12" t="s">
        <v>51</v>
      </c>
      <c r="U208" s="37" t="s">
        <v>45</v>
      </c>
      <c r="V208" s="38" t="s">
        <v>48</v>
      </c>
    </row>
    <row r="209" spans="1:22">
      <c r="A209" s="40"/>
      <c r="B209" s="27" t="s">
        <v>30</v>
      </c>
      <c r="C209" s="8">
        <v>21.5</v>
      </c>
      <c r="D209" s="1">
        <f>IF(C209,C209+Q198,"")</f>
        <v>726.5</v>
      </c>
      <c r="E209" s="72">
        <f>IF(C209,C209/D209,"")</f>
        <v>2.9593943565037854E-2</v>
      </c>
      <c r="F209" s="14" t="str">
        <f>IF(AND(C209&lt;&gt;"",N196&lt;&gt;""),(M198/F198*E196+M199/F199*D196)/(C209+U198),"")</f>
        <v/>
      </c>
      <c r="G209" s="1">
        <f>IF(C209,IF(AND(F198&lt;&gt;0,C196&lt;&gt;0),M199,M199/F199*D196)/(C209+U199),"")</f>
        <v>1.2286271619216718</v>
      </c>
      <c r="H209" s="1">
        <f>IF(C209,(M200)/(C209+U200),"")</f>
        <v>0.79603399433427757</v>
      </c>
      <c r="I209" s="1">
        <f>IF(C209,(M201)/(C209+U201),"")</f>
        <v>0.45132743362831856</v>
      </c>
      <c r="J209" s="1">
        <f>IF(C209,(M202)/(C209+U202),"")</f>
        <v>0</v>
      </c>
      <c r="K209" s="14" t="str">
        <f>IF(AND(C209&lt;&gt;"",N196&lt;&gt;""),9.8*N196*LN((C209+U198)/(C209+V198)),"")</f>
        <v/>
      </c>
      <c r="L209" s="1">
        <f>IF(C209,9.8*F199*LN((C209+U199)/(C209+V199)),"")</f>
        <v>3359.7796351301863</v>
      </c>
      <c r="M209" s="1">
        <f>IF(C209,9.8*F200*LN((C209+U200)/(C209+V200)),"")</f>
        <v>3397.6752848543392</v>
      </c>
      <c r="N209" s="1">
        <f>IF(C209,9.8*F201*LN((C209+U201)/(C209+V201)),"")</f>
        <v>3244.9461872009788</v>
      </c>
      <c r="O209" s="1">
        <f>IF(C209,9.8*F202*LN((C209+U202)/(C209+V202)),"")</f>
        <v>0</v>
      </c>
      <c r="P209" s="15">
        <f>IF(C209,SUM(K209:O209),"")</f>
        <v>10002.401107185506</v>
      </c>
      <c r="Q209" s="1"/>
      <c r="R209" s="1"/>
      <c r="S209" s="1"/>
      <c r="T209" s="32" t="str">
        <f>IF(OR(F209&lt;1,AND(F209="",G209&lt;1)),"起飞推重比不得小于0，空天飞机除外","")</f>
        <v/>
      </c>
      <c r="U209" s="1"/>
      <c r="V209" s="1"/>
    </row>
    <row r="210" spans="1:22">
      <c r="A210" s="47"/>
      <c r="B210" s="27" t="s">
        <v>31</v>
      </c>
      <c r="C210" s="9">
        <v>9.3000000000000007</v>
      </c>
      <c r="D210" s="1">
        <f>IF(C210,C210+Q198,"")</f>
        <v>714.3</v>
      </c>
      <c r="E210" s="72">
        <f t="shared" ref="E210:E212" si="64">IF(C210,C210/D210,"")</f>
        <v>1.3019739605207898E-2</v>
      </c>
      <c r="F210" s="14" t="str">
        <f>IF(AND(C210&lt;&gt;"",N196&lt;&gt;""),(M198/F198*E196+M199/F199*D196)/(C210+U198),"")</f>
        <v/>
      </c>
      <c r="G210" s="1">
        <f>IF(C210,IF(AND(F198&lt;&gt;0,C196&lt;&gt;0),M199,M199/F199*D196)/(C210+U199),"")</f>
        <v>1.2496116941566493</v>
      </c>
      <c r="H210" s="1">
        <f>IF(C210,(M200)/(C210+U200),"")</f>
        <v>0.85514303104077904</v>
      </c>
      <c r="I210" s="1">
        <f>IF(C210,(M201)/(C210+U201),"")</f>
        <v>0.57562076749435664</v>
      </c>
      <c r="J210" s="1">
        <f>IF(C210,(M202)/(C210+U202),"")</f>
        <v>0</v>
      </c>
      <c r="K210" s="14" t="str">
        <f>IF(AND(C210&lt;&gt;"",N196&lt;&gt;""),9.8*N196*LN((C210+U198)/(C210+V198)),"")</f>
        <v/>
      </c>
      <c r="L210" s="1">
        <f>IF(C210,9.8*F199*LN((C210+U199)/(C210+V199)),"")</f>
        <v>3460.729135219131</v>
      </c>
      <c r="M210" s="1">
        <f>IF(C210,9.8*F200*LN((C210+U200)/(C210+V200)),"")</f>
        <v>3857.520405167475</v>
      </c>
      <c r="N210" s="1">
        <f>IF(C210,9.8*F201*LN((C210+U201)/(C210+V201)),"")</f>
        <v>4799.8704253705755</v>
      </c>
      <c r="O210" s="1">
        <f>IF(C210,9.8*F202*LN((C210+U202)/(C210+V202)),"")</f>
        <v>0</v>
      </c>
      <c r="P210" s="15">
        <f>IF(C210,SUM(K210:O210),"")</f>
        <v>12118.119965757181</v>
      </c>
      <c r="Q210" s="1"/>
      <c r="R210" s="1"/>
      <c r="S210" s="1"/>
      <c r="T210" s="32" t="str">
        <f t="shared" ref="T210:T212" si="65">IF(OR(F210&lt;1,AND(F210="",G210&lt;1)),"起飞推重比不得小于0，空天飞机除外","")</f>
        <v/>
      </c>
      <c r="U210" s="1"/>
      <c r="V210" s="1"/>
    </row>
    <row r="211" spans="1:22">
      <c r="A211" s="47"/>
      <c r="B211" s="27" t="s">
        <v>32</v>
      </c>
      <c r="C211" s="9"/>
      <c r="D211" s="1" t="str">
        <f>IF(C211,C211+Q198,"")</f>
        <v/>
      </c>
      <c r="E211" s="72" t="str">
        <f t="shared" si="64"/>
        <v/>
      </c>
      <c r="F211" s="14" t="str">
        <f>IF(AND(C211&lt;&gt;"",N196&lt;&gt;""),(M198/F198*E196+M199/F199*D196)/(C211+U198),"")</f>
        <v/>
      </c>
      <c r="G211" s="1" t="str">
        <f>IF(C211,IF(AND(F198&lt;&gt;0,C196&lt;&gt;0),M199,M199/F199*D196)/(C211+U199),"")</f>
        <v/>
      </c>
      <c r="H211" s="1" t="str">
        <f>IF(C211,(M200)/(C211+U200),"")</f>
        <v/>
      </c>
      <c r="I211" s="1" t="str">
        <f>IF(C211,(M201)/(C211+U201),"")</f>
        <v/>
      </c>
      <c r="J211" s="1" t="str">
        <f>IF(C211,(M202)/(C211+U202),"")</f>
        <v/>
      </c>
      <c r="K211" s="14" t="str">
        <f>IF(AND(C211&lt;&gt;"",N196&lt;&gt;""),9.8*N196*LN((C211+U198)/(C211+V198)),"")</f>
        <v/>
      </c>
      <c r="L211" s="1" t="str">
        <f>IF(C211,9.8*F199*LN((C211+U199)/(C211+V199)),"")</f>
        <v/>
      </c>
      <c r="M211" s="1" t="str">
        <f>IF(C211,9.8*F200*LN((C211+U200)/(C211+V200)),"")</f>
        <v/>
      </c>
      <c r="N211" s="1" t="str">
        <f>IF(C211,9.8*F201*LN((C211+U201)/(C211+V201)),"")</f>
        <v/>
      </c>
      <c r="O211" s="1" t="str">
        <f>IF(C211,9.8*F202*LN((C211+U202)/(C211+V202)),"")</f>
        <v/>
      </c>
      <c r="P211" s="15" t="str">
        <f>IF(C211,SUM(K211:O211),"")</f>
        <v/>
      </c>
      <c r="Q211" s="1"/>
      <c r="R211" s="1"/>
      <c r="S211" s="1"/>
      <c r="T211" s="32" t="str">
        <f t="shared" si="65"/>
        <v/>
      </c>
      <c r="U211" s="1"/>
      <c r="V211" s="1"/>
    </row>
    <row r="212" spans="1:22" ht="15" thickBot="1">
      <c r="A212" s="48" t="s">
        <v>46</v>
      </c>
      <c r="B212" s="49" t="s">
        <v>33</v>
      </c>
      <c r="C212" s="50"/>
      <c r="D212" s="25" t="str">
        <f>IF(C212,C212+Q198,"")</f>
        <v/>
      </c>
      <c r="E212" s="73" t="str">
        <f t="shared" si="64"/>
        <v/>
      </c>
      <c r="F212" s="70" t="str">
        <f>IF(AND(C212&lt;&gt;"",N196&lt;&gt;""),(M198/F198*E196+M199/F199*D196)/(C212+U198),"")</f>
        <v/>
      </c>
      <c r="G212" s="25" t="str">
        <f>IF(C212,IF(AND(F198&lt;&gt;0,C196&lt;&gt;0),M199,M199/F199*D196)/(C212+U199),"")</f>
        <v/>
      </c>
      <c r="H212" s="25" t="str">
        <f>IF(C212,(M200)/(C212+U200),"")</f>
        <v/>
      </c>
      <c r="I212" s="25" t="str">
        <f>IF(C212,(M201)/(C212+U201),"")</f>
        <v/>
      </c>
      <c r="J212" s="25" t="str">
        <f>IF(C212,(M202)/(C212+U202),"")</f>
        <v/>
      </c>
      <c r="K212" s="70" t="str">
        <f>IF(AND(C212&lt;&gt;"",N196&lt;&gt;""),9.8*N196*LN((C212+U198)/(C212+V198)),"")</f>
        <v/>
      </c>
      <c r="L212" s="25" t="str">
        <f>IF(C212,9.8*F199*LN((C212+U199)/(C212+V199)),"")</f>
        <v/>
      </c>
      <c r="M212" s="25" t="str">
        <f>IF(C212,9.8*F200*LN((C212+U200)/(C212+V200)),"")</f>
        <v/>
      </c>
      <c r="N212" s="25" t="str">
        <f>IF(C212,9.8*F201*LN((C212+U201)/(C212+V201)),"")</f>
        <v/>
      </c>
      <c r="O212" s="25" t="str">
        <f>IF(C212,9.8*F202*LN((C212+U202)/(C212+V202)),"")</f>
        <v/>
      </c>
      <c r="P212" s="71" t="str">
        <f>IF(C212,SUM(K212:O212),"")</f>
        <v/>
      </c>
      <c r="Q212" s="25"/>
      <c r="R212" s="25"/>
      <c r="S212" s="25"/>
      <c r="T212" s="51" t="str">
        <f t="shared" si="65"/>
        <v/>
      </c>
      <c r="U212" s="25"/>
      <c r="V212" s="25"/>
    </row>
  </sheetData>
  <mergeCells count="88">
    <mergeCell ref="D5:E5"/>
    <mergeCell ref="I5:K5"/>
    <mergeCell ref="M5:O5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P6:R6"/>
    <mergeCell ref="S6:V6"/>
    <mergeCell ref="Q13:S13"/>
    <mergeCell ref="Q18:S18"/>
    <mergeCell ref="D24:E24"/>
    <mergeCell ref="I24:K24"/>
    <mergeCell ref="M24:O24"/>
    <mergeCell ref="P25:R25"/>
    <mergeCell ref="S25:V25"/>
    <mergeCell ref="Q32:S32"/>
    <mergeCell ref="Q37:S37"/>
    <mergeCell ref="D43:E43"/>
    <mergeCell ref="I43:K43"/>
    <mergeCell ref="M43:O43"/>
    <mergeCell ref="P44:R44"/>
    <mergeCell ref="S44:V44"/>
    <mergeCell ref="Q51:S51"/>
    <mergeCell ref="Q56:S56"/>
    <mergeCell ref="D62:E62"/>
    <mergeCell ref="I62:K62"/>
    <mergeCell ref="M62:O62"/>
    <mergeCell ref="P63:R63"/>
    <mergeCell ref="S63:V63"/>
    <mergeCell ref="Q70:S70"/>
    <mergeCell ref="Q75:S75"/>
    <mergeCell ref="D81:E81"/>
    <mergeCell ref="I81:K81"/>
    <mergeCell ref="M81:O81"/>
    <mergeCell ref="P82:R82"/>
    <mergeCell ref="S82:V82"/>
    <mergeCell ref="Q89:S89"/>
    <mergeCell ref="Q94:S94"/>
    <mergeCell ref="D100:E100"/>
    <mergeCell ref="I100:K100"/>
    <mergeCell ref="M100:O100"/>
    <mergeCell ref="P101:R101"/>
    <mergeCell ref="S101:V101"/>
    <mergeCell ref="Q108:S108"/>
    <mergeCell ref="Q113:S113"/>
    <mergeCell ref="D119:E119"/>
    <mergeCell ref="I119:K119"/>
    <mergeCell ref="M119:O119"/>
    <mergeCell ref="P120:R120"/>
    <mergeCell ref="S120:V120"/>
    <mergeCell ref="Q127:S127"/>
    <mergeCell ref="Q132:S132"/>
    <mergeCell ref="D138:E138"/>
    <mergeCell ref="I138:K138"/>
    <mergeCell ref="M138:O138"/>
    <mergeCell ref="P139:R139"/>
    <mergeCell ref="S139:V139"/>
    <mergeCell ref="Q146:S146"/>
    <mergeCell ref="Q151:S151"/>
    <mergeCell ref="D157:E157"/>
    <mergeCell ref="I157:K157"/>
    <mergeCell ref="M157:O157"/>
    <mergeCell ref="D195:E195"/>
    <mergeCell ref="I195:K195"/>
    <mergeCell ref="M195:O195"/>
    <mergeCell ref="P158:R158"/>
    <mergeCell ref="S158:V158"/>
    <mergeCell ref="Q165:S165"/>
    <mergeCell ref="Q170:S170"/>
    <mergeCell ref="D176:E176"/>
    <mergeCell ref="I176:K176"/>
    <mergeCell ref="M176:O176"/>
    <mergeCell ref="P196:R196"/>
    <mergeCell ref="S196:V196"/>
    <mergeCell ref="Q203:S203"/>
    <mergeCell ref="Q208:S208"/>
    <mergeCell ref="P177:R177"/>
    <mergeCell ref="S177:V177"/>
    <mergeCell ref="Q184:S184"/>
    <mergeCell ref="Q189:S189"/>
  </mergeCells>
  <phoneticPr fontId="1" type="noConversion"/>
  <conditionalFormatting sqref="P9">
    <cfRule type="expression" dxfId="165" priority="166">
      <formula>P9&lt;P8</formula>
    </cfRule>
  </conditionalFormatting>
  <conditionalFormatting sqref="T9">
    <cfRule type="expression" dxfId="164" priority="165">
      <formula>T9&lt;T8</formula>
    </cfRule>
  </conditionalFormatting>
  <conditionalFormatting sqref="L8:V12 D14:D17 F14:J17 D19:D22 F19:J22">
    <cfRule type="expression" dxfId="163" priority="164">
      <formula>ROUND(D8,3)&lt;&gt;D8</formula>
    </cfRule>
  </conditionalFormatting>
  <conditionalFormatting sqref="K14:P17 K19:P22">
    <cfRule type="expression" dxfId="162" priority="163">
      <formula>ROUND(K14,1)&lt;&gt;K14</formula>
    </cfRule>
  </conditionalFormatting>
  <conditionalFormatting sqref="L8:V12 D14:D17 F14:P17 D19:D22 F19:P22">
    <cfRule type="expression" dxfId="161" priority="162">
      <formula>D8=0</formula>
    </cfRule>
  </conditionalFormatting>
  <conditionalFormatting sqref="F14:F17 F19:F22">
    <cfRule type="expression" dxfId="160" priority="161">
      <formula>AND(T14&lt;&gt;"",F14&lt;&gt;"")</formula>
    </cfRule>
  </conditionalFormatting>
  <conditionalFormatting sqref="G14:G17 G19:G22">
    <cfRule type="expression" dxfId="159" priority="160">
      <formula>AND(T14&lt;&gt;"",F14="")</formula>
    </cfRule>
  </conditionalFormatting>
  <conditionalFormatting sqref="L6">
    <cfRule type="expression" dxfId="158" priority="154">
      <formula>ROUND(L6,3)&lt;&gt;L6</formula>
    </cfRule>
    <cfRule type="expression" dxfId="157" priority="159">
      <formula>L6=0</formula>
    </cfRule>
  </conditionalFormatting>
  <conditionalFormatting sqref="Q8">
    <cfRule type="expression" dxfId="156" priority="158">
      <formula>NOT(AND(F8&lt;&gt;0,C6&lt;&gt;0))</formula>
    </cfRule>
  </conditionalFormatting>
  <conditionalFormatting sqref="R8">
    <cfRule type="expression" dxfId="155" priority="157">
      <formula>NOT(AND(F8&lt;&gt;0,C6&lt;&gt;0))</formula>
    </cfRule>
  </conditionalFormatting>
  <conditionalFormatting sqref="U8">
    <cfRule type="expression" dxfId="154" priority="156">
      <formula>NOT(AND(F8&lt;&gt;0,C6&lt;&gt;0))</formula>
    </cfRule>
  </conditionalFormatting>
  <conditionalFormatting sqref="V8">
    <cfRule type="expression" dxfId="153" priority="155">
      <formula>NOT(AND(F8&lt;&gt;0,C6&lt;&gt;0))</formula>
    </cfRule>
  </conditionalFormatting>
  <conditionalFormatting sqref="H6">
    <cfRule type="expression" dxfId="152" priority="153">
      <formula>ROUND(IF(H6="隐藏水印。作者：战犬金龟（贴吧/B站）",1,0),1)</formula>
    </cfRule>
  </conditionalFormatting>
  <conditionalFormatting sqref="N6">
    <cfRule type="expression" dxfId="151" priority="152">
      <formula>ROUND(N6,1)&lt;&gt;N6</formula>
    </cfRule>
  </conditionalFormatting>
  <conditionalFormatting sqref="P28">
    <cfRule type="expression" dxfId="150" priority="151">
      <formula>P28&lt;P27</formula>
    </cfRule>
  </conditionalFormatting>
  <conditionalFormatting sqref="T28">
    <cfRule type="expression" dxfId="149" priority="150">
      <formula>T28&lt;T27</formula>
    </cfRule>
  </conditionalFormatting>
  <conditionalFormatting sqref="L27:V31 D33:D36 F33:J36 D38:D41 F38:J41">
    <cfRule type="expression" dxfId="148" priority="149">
      <formula>ROUND(D27,3)&lt;&gt;D27</formula>
    </cfRule>
  </conditionalFormatting>
  <conditionalFormatting sqref="K33:P36 K38:P41">
    <cfRule type="expression" dxfId="147" priority="148">
      <formula>ROUND(K33,1)&lt;&gt;K33</formula>
    </cfRule>
  </conditionalFormatting>
  <conditionalFormatting sqref="L27:V31 D33:D36 F33:P36 D38:D41 F38:P41">
    <cfRule type="expression" dxfId="146" priority="147">
      <formula>D27=0</formula>
    </cfRule>
  </conditionalFormatting>
  <conditionalFormatting sqref="F33:F36 F38:F41">
    <cfRule type="expression" dxfId="145" priority="146">
      <formula>AND(T33&lt;&gt;"",F33&lt;&gt;"")</formula>
    </cfRule>
  </conditionalFormatting>
  <conditionalFormatting sqref="G33:G36 G38:G41">
    <cfRule type="expression" dxfId="144" priority="145">
      <formula>AND(T33&lt;&gt;"",F33="")</formula>
    </cfRule>
  </conditionalFormatting>
  <conditionalFormatting sqref="L25">
    <cfRule type="expression" dxfId="143" priority="139">
      <formula>ROUND(L25,3)&lt;&gt;L25</formula>
    </cfRule>
    <cfRule type="expression" dxfId="142" priority="144">
      <formula>L25=0</formula>
    </cfRule>
  </conditionalFormatting>
  <conditionalFormatting sqref="Q27">
    <cfRule type="expression" dxfId="141" priority="143">
      <formula>NOT(AND(F27&lt;&gt;0,C25&lt;&gt;0))</formula>
    </cfRule>
  </conditionalFormatting>
  <conditionalFormatting sqref="R27">
    <cfRule type="expression" dxfId="140" priority="142">
      <formula>NOT(AND(F27&lt;&gt;0,C25&lt;&gt;0))</formula>
    </cfRule>
  </conditionalFormatting>
  <conditionalFormatting sqref="U27">
    <cfRule type="expression" dxfId="139" priority="141">
      <formula>NOT(AND(F27&lt;&gt;0,C25&lt;&gt;0))</formula>
    </cfRule>
  </conditionalFormatting>
  <conditionalFormatting sqref="V27">
    <cfRule type="expression" dxfId="138" priority="140">
      <formula>NOT(AND(F27&lt;&gt;0,C25&lt;&gt;0))</formula>
    </cfRule>
  </conditionalFormatting>
  <conditionalFormatting sqref="H25">
    <cfRule type="expression" dxfId="137" priority="138">
      <formula>ROUND(IF(H25="隐藏水印。作者：战犬金龟（贴吧/B站）",1,0),1)</formula>
    </cfRule>
  </conditionalFormatting>
  <conditionalFormatting sqref="N25">
    <cfRule type="expression" dxfId="136" priority="137">
      <formula>ROUND(N25,1)&lt;&gt;N25</formula>
    </cfRule>
  </conditionalFormatting>
  <conditionalFormatting sqref="P47">
    <cfRule type="expression" dxfId="135" priority="136">
      <formula>P47&lt;P46</formula>
    </cfRule>
  </conditionalFormatting>
  <conditionalFormatting sqref="T47">
    <cfRule type="expression" dxfId="134" priority="135">
      <formula>T47&lt;T46</formula>
    </cfRule>
  </conditionalFormatting>
  <conditionalFormatting sqref="L46:V50 D52:D55 F52:J55 D57:D60 F57:J60">
    <cfRule type="expression" dxfId="133" priority="134">
      <formula>ROUND(D46,3)&lt;&gt;D46</formula>
    </cfRule>
  </conditionalFormatting>
  <conditionalFormatting sqref="K52:P55 K57:P60">
    <cfRule type="expression" dxfId="132" priority="133">
      <formula>ROUND(K52,1)&lt;&gt;K52</formula>
    </cfRule>
  </conditionalFormatting>
  <conditionalFormatting sqref="L46:V50 D52:D55 F52:P55 D57:D60 F57:P60">
    <cfRule type="expression" dxfId="131" priority="132">
      <formula>D46=0</formula>
    </cfRule>
  </conditionalFormatting>
  <conditionalFormatting sqref="F52:F55 F57:F60">
    <cfRule type="expression" dxfId="130" priority="131">
      <formula>AND(T52&lt;&gt;"",F52&lt;&gt;"")</formula>
    </cfRule>
  </conditionalFormatting>
  <conditionalFormatting sqref="G52:G55 G57:G60">
    <cfRule type="expression" dxfId="129" priority="130">
      <formula>AND(T52&lt;&gt;"",F52="")</formula>
    </cfRule>
  </conditionalFormatting>
  <conditionalFormatting sqref="L44">
    <cfRule type="expression" dxfId="128" priority="124">
      <formula>ROUND(L44,3)&lt;&gt;L44</formula>
    </cfRule>
    <cfRule type="expression" dxfId="127" priority="129">
      <formula>L44=0</formula>
    </cfRule>
  </conditionalFormatting>
  <conditionalFormatting sqref="Q46">
    <cfRule type="expression" dxfId="126" priority="128">
      <formula>NOT(AND(F46&lt;&gt;0,C44&lt;&gt;0))</formula>
    </cfRule>
  </conditionalFormatting>
  <conditionalFormatting sqref="R46">
    <cfRule type="expression" dxfId="125" priority="127">
      <formula>NOT(AND(F46&lt;&gt;0,C44&lt;&gt;0))</formula>
    </cfRule>
  </conditionalFormatting>
  <conditionalFormatting sqref="U46">
    <cfRule type="expression" dxfId="124" priority="126">
      <formula>NOT(AND(F46&lt;&gt;0,C44&lt;&gt;0))</formula>
    </cfRule>
  </conditionalFormatting>
  <conditionalFormatting sqref="V46">
    <cfRule type="expression" dxfId="123" priority="125">
      <formula>NOT(AND(F46&lt;&gt;0,C44&lt;&gt;0))</formula>
    </cfRule>
  </conditionalFormatting>
  <conditionalFormatting sqref="H44">
    <cfRule type="expression" dxfId="122" priority="123">
      <formula>ROUND(IF(H44="隐藏水印。作者：战犬金龟（贴吧/B站）",1,0),1)</formula>
    </cfRule>
  </conditionalFormatting>
  <conditionalFormatting sqref="N44">
    <cfRule type="expression" dxfId="121" priority="122">
      <formula>ROUND(N44,1)&lt;&gt;N44</formula>
    </cfRule>
  </conditionalFormatting>
  <conditionalFormatting sqref="P66">
    <cfRule type="expression" dxfId="120" priority="121">
      <formula>P66&lt;P65</formula>
    </cfRule>
  </conditionalFormatting>
  <conditionalFormatting sqref="T66">
    <cfRule type="expression" dxfId="119" priority="120">
      <formula>T66&lt;T65</formula>
    </cfRule>
  </conditionalFormatting>
  <conditionalFormatting sqref="L65:V69 D71:D74 F71:J74 D76:D79 F76:J79">
    <cfRule type="expression" dxfId="118" priority="119">
      <formula>ROUND(D65,3)&lt;&gt;D65</formula>
    </cfRule>
  </conditionalFormatting>
  <conditionalFormatting sqref="K71:P74 K76:P79">
    <cfRule type="expression" dxfId="117" priority="118">
      <formula>ROUND(K71,1)&lt;&gt;K71</formula>
    </cfRule>
  </conditionalFormatting>
  <conditionalFormatting sqref="L65:V69 D71:D74 F71:P74 D76:D79 F76:P79">
    <cfRule type="expression" dxfId="116" priority="117">
      <formula>D65=0</formula>
    </cfRule>
  </conditionalFormatting>
  <conditionalFormatting sqref="F71:F74 F76:F79">
    <cfRule type="expression" dxfId="115" priority="116">
      <formula>AND(T71&lt;&gt;"",F71&lt;&gt;"")</formula>
    </cfRule>
  </conditionalFormatting>
  <conditionalFormatting sqref="G71:G74 G76:G79">
    <cfRule type="expression" dxfId="114" priority="115">
      <formula>AND(T71&lt;&gt;"",F71="")</formula>
    </cfRule>
  </conditionalFormatting>
  <conditionalFormatting sqref="L63">
    <cfRule type="expression" dxfId="113" priority="109">
      <formula>ROUND(L63,3)&lt;&gt;L63</formula>
    </cfRule>
    <cfRule type="expression" dxfId="112" priority="114">
      <formula>L63=0</formula>
    </cfRule>
  </conditionalFormatting>
  <conditionalFormatting sqref="Q65">
    <cfRule type="expression" dxfId="111" priority="113">
      <formula>NOT(AND(F65&lt;&gt;0,C63&lt;&gt;0))</formula>
    </cfRule>
  </conditionalFormatting>
  <conditionalFormatting sqref="R65">
    <cfRule type="expression" dxfId="110" priority="112">
      <formula>NOT(AND(F65&lt;&gt;0,C63&lt;&gt;0))</formula>
    </cfRule>
  </conditionalFormatting>
  <conditionalFormatting sqref="U65">
    <cfRule type="expression" dxfId="109" priority="111">
      <formula>NOT(AND(F65&lt;&gt;0,C63&lt;&gt;0))</formula>
    </cfRule>
  </conditionalFormatting>
  <conditionalFormatting sqref="V65">
    <cfRule type="expression" dxfId="108" priority="110">
      <formula>NOT(AND(F65&lt;&gt;0,C63&lt;&gt;0))</formula>
    </cfRule>
  </conditionalFormatting>
  <conditionalFormatting sqref="H63">
    <cfRule type="expression" dxfId="107" priority="108">
      <formula>ROUND(IF(H63="隐藏水印。作者：战犬金龟（贴吧/B站）",1,0),1)</formula>
    </cfRule>
  </conditionalFormatting>
  <conditionalFormatting sqref="N63">
    <cfRule type="expression" dxfId="106" priority="107">
      <formula>ROUND(N63,1)&lt;&gt;N63</formula>
    </cfRule>
  </conditionalFormatting>
  <conditionalFormatting sqref="P85">
    <cfRule type="expression" dxfId="105" priority="106">
      <formula>P85&lt;P84</formula>
    </cfRule>
  </conditionalFormatting>
  <conditionalFormatting sqref="T85">
    <cfRule type="expression" dxfId="104" priority="105">
      <formula>T85&lt;T84</formula>
    </cfRule>
  </conditionalFormatting>
  <conditionalFormatting sqref="L84:V88 D90:D93 F90:J93 D95:D98 F95:J98">
    <cfRule type="expression" dxfId="103" priority="104">
      <formula>ROUND(D84,3)&lt;&gt;D84</formula>
    </cfRule>
  </conditionalFormatting>
  <conditionalFormatting sqref="K90:P93 K95:P98">
    <cfRule type="expression" dxfId="102" priority="103">
      <formula>ROUND(K90,1)&lt;&gt;K90</formula>
    </cfRule>
  </conditionalFormatting>
  <conditionalFormatting sqref="L84:V88 D90:D93 F90:P93 D95:D98 F95:P98">
    <cfRule type="expression" dxfId="101" priority="102">
      <formula>D84=0</formula>
    </cfRule>
  </conditionalFormatting>
  <conditionalFormatting sqref="F90:F93 F95:F98">
    <cfRule type="expression" dxfId="100" priority="101">
      <formula>AND(T90&lt;&gt;"",F90&lt;&gt;"")</formula>
    </cfRule>
  </conditionalFormatting>
  <conditionalFormatting sqref="G90:G93 G95:G98">
    <cfRule type="expression" dxfId="99" priority="100">
      <formula>AND(T90&lt;&gt;"",F90="")</formula>
    </cfRule>
  </conditionalFormatting>
  <conditionalFormatting sqref="L82">
    <cfRule type="expression" dxfId="98" priority="94">
      <formula>ROUND(L82,3)&lt;&gt;L82</formula>
    </cfRule>
    <cfRule type="expression" dxfId="97" priority="99">
      <formula>L82=0</formula>
    </cfRule>
  </conditionalFormatting>
  <conditionalFormatting sqref="Q84">
    <cfRule type="expression" dxfId="96" priority="98">
      <formula>NOT(AND(F84&lt;&gt;0,C82&lt;&gt;0))</formula>
    </cfRule>
  </conditionalFormatting>
  <conditionalFormatting sqref="R84">
    <cfRule type="expression" dxfId="95" priority="97">
      <formula>NOT(AND(F84&lt;&gt;0,C82&lt;&gt;0))</formula>
    </cfRule>
  </conditionalFormatting>
  <conditionalFormatting sqref="U84">
    <cfRule type="expression" dxfId="94" priority="96">
      <formula>NOT(AND(F84&lt;&gt;0,C82&lt;&gt;0))</formula>
    </cfRule>
  </conditionalFormatting>
  <conditionalFormatting sqref="V84">
    <cfRule type="expression" dxfId="93" priority="95">
      <formula>NOT(AND(F84&lt;&gt;0,C82&lt;&gt;0))</formula>
    </cfRule>
  </conditionalFormatting>
  <conditionalFormatting sqref="H82">
    <cfRule type="expression" dxfId="92" priority="93">
      <formula>ROUND(IF(H82="隐藏水印。作者：战犬金龟（贴吧/B站）",1,0),1)</formula>
    </cfRule>
  </conditionalFormatting>
  <conditionalFormatting sqref="N82">
    <cfRule type="expression" dxfId="91" priority="92">
      <formula>ROUND(N82,1)&lt;&gt;N82</formula>
    </cfRule>
  </conditionalFormatting>
  <conditionalFormatting sqref="P104">
    <cfRule type="expression" dxfId="90" priority="91">
      <formula>P104&lt;P103</formula>
    </cfRule>
  </conditionalFormatting>
  <conditionalFormatting sqref="T104">
    <cfRule type="expression" dxfId="89" priority="90">
      <formula>T104&lt;T103</formula>
    </cfRule>
  </conditionalFormatting>
  <conditionalFormatting sqref="L103:V107 D109:D112 F109:J112 D114:D117 F114:J117">
    <cfRule type="expression" dxfId="88" priority="89">
      <formula>ROUND(D103,3)&lt;&gt;D103</formula>
    </cfRule>
  </conditionalFormatting>
  <conditionalFormatting sqref="K109:P112 K114:P117">
    <cfRule type="expression" dxfId="87" priority="88">
      <formula>ROUND(K109,1)&lt;&gt;K109</formula>
    </cfRule>
  </conditionalFormatting>
  <conditionalFormatting sqref="L103:V107 D109:D112 F109:P112 D114:D117 F114:P117">
    <cfRule type="expression" dxfId="86" priority="87">
      <formula>D103=0</formula>
    </cfRule>
  </conditionalFormatting>
  <conditionalFormatting sqref="F109:F112 F114:F117">
    <cfRule type="expression" dxfId="85" priority="86">
      <formula>AND(T109&lt;&gt;"",F109&lt;&gt;"")</formula>
    </cfRule>
  </conditionalFormatting>
  <conditionalFormatting sqref="G109:G112 G114:G117">
    <cfRule type="expression" dxfId="84" priority="85">
      <formula>AND(T109&lt;&gt;"",F109="")</formula>
    </cfRule>
  </conditionalFormatting>
  <conditionalFormatting sqref="L101">
    <cfRule type="expression" dxfId="83" priority="79">
      <formula>ROUND(L101,3)&lt;&gt;L101</formula>
    </cfRule>
    <cfRule type="expression" dxfId="82" priority="84">
      <formula>L101=0</formula>
    </cfRule>
  </conditionalFormatting>
  <conditionalFormatting sqref="Q103">
    <cfRule type="expression" dxfId="81" priority="83">
      <formula>NOT(AND(F103&lt;&gt;0,C101&lt;&gt;0))</formula>
    </cfRule>
  </conditionalFormatting>
  <conditionalFormatting sqref="R103">
    <cfRule type="expression" dxfId="80" priority="82">
      <formula>NOT(AND(F103&lt;&gt;0,C101&lt;&gt;0))</formula>
    </cfRule>
  </conditionalFormatting>
  <conditionalFormatting sqref="U103">
    <cfRule type="expression" dxfId="79" priority="81">
      <formula>NOT(AND(F103&lt;&gt;0,C101&lt;&gt;0))</formula>
    </cfRule>
  </conditionalFormatting>
  <conditionalFormatting sqref="V103">
    <cfRule type="expression" dxfId="78" priority="80">
      <formula>NOT(AND(F103&lt;&gt;0,C101&lt;&gt;0))</formula>
    </cfRule>
  </conditionalFormatting>
  <conditionalFormatting sqref="H101">
    <cfRule type="expression" dxfId="77" priority="78">
      <formula>ROUND(IF(H101="隐藏水印。作者：战犬金龟（贴吧/B站）",1,0),1)</formula>
    </cfRule>
  </conditionalFormatting>
  <conditionalFormatting sqref="N101">
    <cfRule type="expression" dxfId="76" priority="77">
      <formula>ROUND(N101,1)&lt;&gt;N101</formula>
    </cfRule>
  </conditionalFormatting>
  <conditionalFormatting sqref="P123">
    <cfRule type="expression" dxfId="75" priority="76">
      <formula>P123&lt;P122</formula>
    </cfRule>
  </conditionalFormatting>
  <conditionalFormatting sqref="T123">
    <cfRule type="expression" dxfId="74" priority="75">
      <formula>T123&lt;T122</formula>
    </cfRule>
  </conditionalFormatting>
  <conditionalFormatting sqref="L122:V126 D128:D131 F128:J131 D133:D136 F133:J136">
    <cfRule type="expression" dxfId="73" priority="74">
      <formula>ROUND(D122,3)&lt;&gt;D122</formula>
    </cfRule>
  </conditionalFormatting>
  <conditionalFormatting sqref="K128:P131 K133:P136">
    <cfRule type="expression" dxfId="72" priority="73">
      <formula>ROUND(K128,1)&lt;&gt;K128</formula>
    </cfRule>
  </conditionalFormatting>
  <conditionalFormatting sqref="L122:V126 D128:D131 F128:P131 D133:D136 F133:P136">
    <cfRule type="expression" dxfId="71" priority="72">
      <formula>D122=0</formula>
    </cfRule>
  </conditionalFormatting>
  <conditionalFormatting sqref="F128:F131 F133:F136">
    <cfRule type="expression" dxfId="70" priority="71">
      <formula>AND(T128&lt;&gt;"",F128&lt;&gt;"")</formula>
    </cfRule>
  </conditionalFormatting>
  <conditionalFormatting sqref="G128:G131 G133:G136">
    <cfRule type="expression" dxfId="69" priority="70">
      <formula>AND(T128&lt;&gt;"",F128="")</formula>
    </cfRule>
  </conditionalFormatting>
  <conditionalFormatting sqref="L120">
    <cfRule type="expression" dxfId="68" priority="64">
      <formula>ROUND(L120,3)&lt;&gt;L120</formula>
    </cfRule>
    <cfRule type="expression" dxfId="67" priority="69">
      <formula>L120=0</formula>
    </cfRule>
  </conditionalFormatting>
  <conditionalFormatting sqref="Q122">
    <cfRule type="expression" dxfId="66" priority="68">
      <formula>NOT(AND(F122&lt;&gt;0,C120&lt;&gt;0))</formula>
    </cfRule>
  </conditionalFormatting>
  <conditionalFormatting sqref="R122">
    <cfRule type="expression" dxfId="65" priority="67">
      <formula>NOT(AND(F122&lt;&gt;0,C120&lt;&gt;0))</formula>
    </cfRule>
  </conditionalFormatting>
  <conditionalFormatting sqref="U122">
    <cfRule type="expression" dxfId="64" priority="66">
      <formula>NOT(AND(F122&lt;&gt;0,C120&lt;&gt;0))</formula>
    </cfRule>
  </conditionalFormatting>
  <conditionalFormatting sqref="V122">
    <cfRule type="expression" dxfId="63" priority="65">
      <formula>NOT(AND(F122&lt;&gt;0,C120&lt;&gt;0))</formula>
    </cfRule>
  </conditionalFormatting>
  <conditionalFormatting sqref="H120">
    <cfRule type="expression" dxfId="62" priority="63">
      <formula>ROUND(IF(H120="隐藏水印。作者：战犬金龟（贴吧/B站）",1,0),1)</formula>
    </cfRule>
  </conditionalFormatting>
  <conditionalFormatting sqref="N120">
    <cfRule type="expression" dxfId="61" priority="62">
      <formula>ROUND(N120,1)&lt;&gt;N120</formula>
    </cfRule>
  </conditionalFormatting>
  <conditionalFormatting sqref="P142">
    <cfRule type="expression" dxfId="60" priority="61">
      <formula>P142&lt;P141</formula>
    </cfRule>
  </conditionalFormatting>
  <conditionalFormatting sqref="T142">
    <cfRule type="expression" dxfId="59" priority="60">
      <formula>T142&lt;T141</formula>
    </cfRule>
  </conditionalFormatting>
  <conditionalFormatting sqref="L141:V145 D147:D150 F147:J150 D152:D155 F152:J155">
    <cfRule type="expression" dxfId="58" priority="59">
      <formula>ROUND(D141,3)&lt;&gt;D141</formula>
    </cfRule>
  </conditionalFormatting>
  <conditionalFormatting sqref="K147:P150 K152:P155">
    <cfRule type="expression" dxfId="57" priority="58">
      <formula>ROUND(K147,1)&lt;&gt;K147</formula>
    </cfRule>
  </conditionalFormatting>
  <conditionalFormatting sqref="L141:V145 D147:D150 F147:P150 D152:D155 F152:P155">
    <cfRule type="expression" dxfId="56" priority="57">
      <formula>D141=0</formula>
    </cfRule>
  </conditionalFormatting>
  <conditionalFormatting sqref="F147:F150 F152:F155">
    <cfRule type="expression" dxfId="55" priority="56">
      <formula>AND(T147&lt;&gt;"",F147&lt;&gt;"")</formula>
    </cfRule>
  </conditionalFormatting>
  <conditionalFormatting sqref="G147:G150 G152:G155">
    <cfRule type="expression" dxfId="54" priority="55">
      <formula>AND(T147&lt;&gt;"",F147="")</formula>
    </cfRule>
  </conditionalFormatting>
  <conditionalFormatting sqref="L139">
    <cfRule type="expression" dxfId="53" priority="49">
      <formula>ROUND(L139,3)&lt;&gt;L139</formula>
    </cfRule>
    <cfRule type="expression" dxfId="52" priority="54">
      <formula>L139=0</formula>
    </cfRule>
  </conditionalFormatting>
  <conditionalFormatting sqref="Q141">
    <cfRule type="expression" dxfId="51" priority="53">
      <formula>NOT(AND(F141&lt;&gt;0,C139&lt;&gt;0))</formula>
    </cfRule>
  </conditionalFormatting>
  <conditionalFormatting sqref="R141">
    <cfRule type="expression" dxfId="50" priority="52">
      <formula>NOT(AND(F141&lt;&gt;0,C139&lt;&gt;0))</formula>
    </cfRule>
  </conditionalFormatting>
  <conditionalFormatting sqref="U141">
    <cfRule type="expression" dxfId="49" priority="51">
      <formula>NOT(AND(F141&lt;&gt;0,C139&lt;&gt;0))</formula>
    </cfRule>
  </conditionalFormatting>
  <conditionalFormatting sqref="V141">
    <cfRule type="expression" dxfId="48" priority="50">
      <formula>NOT(AND(F141&lt;&gt;0,C139&lt;&gt;0))</formula>
    </cfRule>
  </conditionalFormatting>
  <conditionalFormatting sqref="H139">
    <cfRule type="expression" dxfId="47" priority="48">
      <formula>ROUND(IF(H139="隐藏水印。作者：战犬金龟（贴吧/B站）",1,0),1)</formula>
    </cfRule>
  </conditionalFormatting>
  <conditionalFormatting sqref="N139">
    <cfRule type="expression" dxfId="46" priority="47">
      <formula>ROUND(N139,1)&lt;&gt;N139</formula>
    </cfRule>
  </conditionalFormatting>
  <conditionalFormatting sqref="P161">
    <cfRule type="expression" dxfId="45" priority="46">
      <formula>P161&lt;P160</formula>
    </cfRule>
  </conditionalFormatting>
  <conditionalFormatting sqref="T161">
    <cfRule type="expression" dxfId="44" priority="45">
      <formula>T161&lt;T160</formula>
    </cfRule>
  </conditionalFormatting>
  <conditionalFormatting sqref="L160:V164 D166:D169 F166:J169 D171:D174 F171:J174">
    <cfRule type="expression" dxfId="43" priority="44">
      <formula>ROUND(D160,3)&lt;&gt;D160</formula>
    </cfRule>
  </conditionalFormatting>
  <conditionalFormatting sqref="K166:P169 K171:P174">
    <cfRule type="expression" dxfId="42" priority="43">
      <formula>ROUND(K166,1)&lt;&gt;K166</formula>
    </cfRule>
  </conditionalFormatting>
  <conditionalFormatting sqref="L160:V164 D166:D169 F166:P169 D171:D174 F171:P174">
    <cfRule type="expression" dxfId="41" priority="42">
      <formula>D160=0</formula>
    </cfRule>
  </conditionalFormatting>
  <conditionalFormatting sqref="F166:F169 F171:F174">
    <cfRule type="expression" dxfId="40" priority="41">
      <formula>AND(T166&lt;&gt;"",F166&lt;&gt;"")</formula>
    </cfRule>
  </conditionalFormatting>
  <conditionalFormatting sqref="G166:G169 G171:G174">
    <cfRule type="expression" dxfId="39" priority="40">
      <formula>AND(T166&lt;&gt;"",F166="")</formula>
    </cfRule>
  </conditionalFormatting>
  <conditionalFormatting sqref="L158">
    <cfRule type="expression" dxfId="38" priority="34">
      <formula>ROUND(L158,3)&lt;&gt;L158</formula>
    </cfRule>
    <cfRule type="expression" dxfId="37" priority="39">
      <formula>L158=0</formula>
    </cfRule>
  </conditionalFormatting>
  <conditionalFormatting sqref="Q160">
    <cfRule type="expression" dxfId="36" priority="38">
      <formula>NOT(AND(F160&lt;&gt;0,C158&lt;&gt;0))</formula>
    </cfRule>
  </conditionalFormatting>
  <conditionalFormatting sqref="R160">
    <cfRule type="expression" dxfId="35" priority="37">
      <formula>NOT(AND(F160&lt;&gt;0,C158&lt;&gt;0))</formula>
    </cfRule>
  </conditionalFormatting>
  <conditionalFormatting sqref="U160">
    <cfRule type="expression" dxfId="34" priority="36">
      <formula>NOT(AND(F160&lt;&gt;0,C158&lt;&gt;0))</formula>
    </cfRule>
  </conditionalFormatting>
  <conditionalFormatting sqref="V160">
    <cfRule type="expression" dxfId="33" priority="35">
      <formula>NOT(AND(F160&lt;&gt;0,C158&lt;&gt;0))</formula>
    </cfRule>
  </conditionalFormatting>
  <conditionalFormatting sqref="H158">
    <cfRule type="expression" dxfId="32" priority="33">
      <formula>ROUND(IF(H158="隐藏水印。作者：战犬金龟（贴吧/B站）",1,0),1)</formula>
    </cfRule>
  </conditionalFormatting>
  <conditionalFormatting sqref="N158">
    <cfRule type="expression" dxfId="31" priority="32">
      <formula>ROUND(N158,1)&lt;&gt;N158</formula>
    </cfRule>
  </conditionalFormatting>
  <conditionalFormatting sqref="P180">
    <cfRule type="expression" dxfId="30" priority="31">
      <formula>P180&lt;P179</formula>
    </cfRule>
  </conditionalFormatting>
  <conditionalFormatting sqref="T180">
    <cfRule type="expression" dxfId="29" priority="30">
      <formula>T180&lt;T179</formula>
    </cfRule>
  </conditionalFormatting>
  <conditionalFormatting sqref="L179:V183 D185:D188 F185:J188 D190:D193 F190:J193">
    <cfRule type="expression" dxfId="28" priority="29">
      <formula>ROUND(D179,3)&lt;&gt;D179</formula>
    </cfRule>
  </conditionalFormatting>
  <conditionalFormatting sqref="K185:P188 K190:P193">
    <cfRule type="expression" dxfId="27" priority="28">
      <formula>ROUND(K185,1)&lt;&gt;K185</formula>
    </cfRule>
  </conditionalFormatting>
  <conditionalFormatting sqref="L179:V183 D185:D188 F185:P188 D190:D193 F190:P193">
    <cfRule type="expression" dxfId="26" priority="27">
      <formula>D179=0</formula>
    </cfRule>
  </conditionalFormatting>
  <conditionalFormatting sqref="F185:F188 F190:F193">
    <cfRule type="expression" dxfId="25" priority="26">
      <formula>AND(T185&lt;&gt;"",F185&lt;&gt;"")</formula>
    </cfRule>
  </conditionalFormatting>
  <conditionalFormatting sqref="G185:G188 G190:G193">
    <cfRule type="expression" dxfId="24" priority="25">
      <formula>AND(T185&lt;&gt;"",F185="")</formula>
    </cfRule>
  </conditionalFormatting>
  <conditionalFormatting sqref="L177">
    <cfRule type="expression" dxfId="23" priority="19">
      <formula>ROUND(L177,3)&lt;&gt;L177</formula>
    </cfRule>
    <cfRule type="expression" dxfId="22" priority="24">
      <formula>L177=0</formula>
    </cfRule>
  </conditionalFormatting>
  <conditionalFormatting sqref="Q179">
    <cfRule type="expression" dxfId="21" priority="23">
      <formula>NOT(AND(F179&lt;&gt;0,C177&lt;&gt;0))</formula>
    </cfRule>
  </conditionalFormatting>
  <conditionalFormatting sqref="R179">
    <cfRule type="expression" dxfId="20" priority="22">
      <formula>NOT(AND(F179&lt;&gt;0,C177&lt;&gt;0))</formula>
    </cfRule>
  </conditionalFormatting>
  <conditionalFormatting sqref="U179">
    <cfRule type="expression" dxfId="19" priority="21">
      <formula>NOT(AND(F179&lt;&gt;0,C177&lt;&gt;0))</formula>
    </cfRule>
  </conditionalFormatting>
  <conditionalFormatting sqref="V179">
    <cfRule type="expression" dxfId="18" priority="20">
      <formula>NOT(AND(F179&lt;&gt;0,C177&lt;&gt;0))</formula>
    </cfRule>
  </conditionalFormatting>
  <conditionalFormatting sqref="H177">
    <cfRule type="expression" dxfId="17" priority="18">
      <formula>ROUND(IF(H177="隐藏水印。作者：战犬金龟（贴吧/B站）",1,0),1)</formula>
    </cfRule>
  </conditionalFormatting>
  <conditionalFormatting sqref="N177">
    <cfRule type="expression" dxfId="16" priority="17">
      <formula>ROUND(N177,1)&lt;&gt;N177</formula>
    </cfRule>
  </conditionalFormatting>
  <conditionalFormatting sqref="P199">
    <cfRule type="expression" dxfId="15" priority="16">
      <formula>P199&lt;P198</formula>
    </cfRule>
  </conditionalFormatting>
  <conditionalFormatting sqref="T199">
    <cfRule type="expression" dxfId="14" priority="15">
      <formula>T199&lt;T198</formula>
    </cfRule>
  </conditionalFormatting>
  <conditionalFormatting sqref="L198:V202 D204:D207 F204:J207 D209:D212 F209:J212">
    <cfRule type="expression" dxfId="13" priority="14">
      <formula>ROUND(D198,3)&lt;&gt;D198</formula>
    </cfRule>
  </conditionalFormatting>
  <conditionalFormatting sqref="K204:P207 K209:P212">
    <cfRule type="expression" dxfId="12" priority="13">
      <formula>ROUND(K204,1)&lt;&gt;K204</formula>
    </cfRule>
  </conditionalFormatting>
  <conditionalFormatting sqref="L198:V202 D204:D207 F204:P207 D209:D212 F209:P212">
    <cfRule type="expression" dxfId="11" priority="12">
      <formula>D198=0</formula>
    </cfRule>
  </conditionalFormatting>
  <conditionalFormatting sqref="F204:F207 F209:F212">
    <cfRule type="expression" dxfId="10" priority="11">
      <formula>AND(T204&lt;&gt;"",F204&lt;&gt;"")</formula>
    </cfRule>
  </conditionalFormatting>
  <conditionalFormatting sqref="G204:G207 G209:G212">
    <cfRule type="expression" dxfId="9" priority="10">
      <formula>AND(T204&lt;&gt;"",F204="")</formula>
    </cfRule>
  </conditionalFormatting>
  <conditionalFormatting sqref="L196">
    <cfRule type="expression" dxfId="8" priority="4">
      <formula>ROUND(L196,3)&lt;&gt;L196</formula>
    </cfRule>
    <cfRule type="expression" dxfId="7" priority="9">
      <formula>L196=0</formula>
    </cfRule>
  </conditionalFormatting>
  <conditionalFormatting sqref="Q198">
    <cfRule type="expression" dxfId="6" priority="8">
      <formula>NOT(AND(F198&lt;&gt;0,C196&lt;&gt;0))</formula>
    </cfRule>
  </conditionalFormatting>
  <conditionalFormatting sqref="R198">
    <cfRule type="expression" dxfId="5" priority="7">
      <formula>NOT(AND(F198&lt;&gt;0,C196&lt;&gt;0))</formula>
    </cfRule>
  </conditionalFormatting>
  <conditionalFormatting sqref="U198">
    <cfRule type="expression" dxfId="4" priority="6">
      <formula>NOT(AND(F198&lt;&gt;0,C196&lt;&gt;0))</formula>
    </cfRule>
  </conditionalFormatting>
  <conditionalFormatting sqref="V198">
    <cfRule type="expression" dxfId="3" priority="5">
      <formula>NOT(AND(F198&lt;&gt;0,C196&lt;&gt;0))</formula>
    </cfRule>
  </conditionalFormatting>
  <conditionalFormatting sqref="H196">
    <cfRule type="expression" dxfId="2" priority="3">
      <formula>ROUND(IF(H196="隐藏水印。作者：战犬金龟（贴吧/B站）",1,0),1)</formula>
    </cfRule>
  </conditionalFormatting>
  <conditionalFormatting sqref="N196">
    <cfRule type="expression" dxfId="1" priority="2">
      <formula>ROUND(N196,1)&lt;&gt;N196</formula>
    </cfRule>
  </conditionalFormatting>
  <conditionalFormatting sqref="B3:W3">
    <cfRule type="expression" dxfId="0" priority="1">
      <formula>B3=0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模板</vt:lpstr>
      <vt:lpstr>长九长十</vt:lpstr>
      <vt:lpstr>国外重型</vt:lpstr>
      <vt:lpstr>长征系列</vt:lpstr>
      <vt:lpstr>国外现役</vt:lpstr>
      <vt:lpstr>国内民营</vt:lpstr>
      <vt:lpstr>国内论文</vt:lpstr>
      <vt:lpstr>空天飞机</vt:lpstr>
      <vt:lpstr>吧友自创</vt:lpstr>
      <vt:lpstr>笔记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2023-07-24T15:56:55Z</dcterms:modified>
</cp:coreProperties>
</file>