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 Spina\Desktop\Galeria\Ações\"/>
    </mc:Choice>
  </mc:AlternateContent>
  <xr:revisionPtr revIDLastSave="0" documentId="13_ncr:1_{9EBC748E-1E9B-496E-AE67-6A3F204925C9}" xr6:coauthVersionLast="47" xr6:coauthVersionMax="47" xr10:uidLastSave="{00000000-0000-0000-0000-000000000000}"/>
  <bookViews>
    <workbookView xWindow="28680" yWindow="-120" windowWidth="29040" windowHeight="15840" xr2:uid="{A98F0183-898C-4934-81BB-7BB6EC3255D9}"/>
  </bookViews>
  <sheets>
    <sheet name="Base CVM" sheetId="8" r:id="rId1"/>
    <sheet name="Versão" sheetId="9" r:id="rId2"/>
  </sheets>
  <definedNames>
    <definedName name="Multiplicador">OFFSET(#REF!,0,0,COUNTA(#REF!)-1)</definedName>
    <definedName name="_xlnm.Print_Titles" localSheetId="0">'Base CVM'!$1:$10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8" l="1"/>
  <c r="C3" i="8" a="1"/>
  <c r="C6" i="8"/>
  <c r="C3" i="8" l="1"/>
  <c r="F16" i="8" s="1"/>
  <c r="F22" i="8"/>
  <c r="F75" i="8"/>
  <c r="F17" i="8"/>
  <c r="F48" i="8"/>
  <c r="F42" i="8"/>
  <c r="F27" i="8"/>
  <c r="F65" i="8"/>
  <c r="F12" i="8"/>
  <c r="F34" i="8"/>
  <c r="F18" i="8"/>
  <c r="F62" i="8"/>
  <c r="F28" i="8"/>
  <c r="F50" i="8"/>
  <c r="F77" i="8"/>
  <c r="F74" i="8"/>
  <c r="F71" i="8"/>
  <c r="F30" i="8"/>
  <c r="F53" i="8"/>
  <c r="F66" i="8"/>
  <c r="F31" i="8"/>
  <c r="F52" i="8"/>
  <c r="F58" i="8"/>
  <c r="F59" i="8"/>
  <c r="F32" i="8"/>
  <c r="F51" i="8"/>
  <c r="F41" i="8"/>
  <c r="F78" i="8"/>
  <c r="F37" i="8"/>
  <c r="F35" i="8"/>
  <c r="F80" i="8"/>
  <c r="F43" i="8"/>
  <c r="F63" i="8"/>
  <c r="F64" i="8"/>
  <c r="F19" i="8"/>
  <c r="F40" i="8"/>
  <c r="F38" i="8"/>
  <c r="F49" i="8"/>
  <c r="F23" i="8"/>
  <c r="F25" i="8"/>
  <c r="F47" i="8"/>
  <c r="F13" i="8"/>
  <c r="F76" i="8"/>
  <c r="F36" i="8"/>
  <c r="F69" i="8"/>
  <c r="F39" i="8"/>
  <c r="F14" i="8"/>
  <c r="F21" i="8"/>
  <c r="F73" i="8"/>
  <c r="F79" i="8"/>
  <c r="F60" i="8"/>
  <c r="F56" i="8"/>
  <c r="F72" i="8"/>
  <c r="F45" i="8"/>
  <c r="F70" i="8"/>
  <c r="F33" i="8"/>
  <c r="F26" i="8"/>
  <c r="F54" i="8"/>
  <c r="F55" i="8"/>
  <c r="F29" i="8"/>
  <c r="F46" i="8"/>
  <c r="F24" i="8"/>
  <c r="F81" i="8"/>
  <c r="F20" i="8"/>
  <c r="F61" i="8"/>
  <c r="F44" i="8"/>
  <c r="F57" i="8"/>
  <c r="F68" i="8"/>
  <c r="F67" i="8"/>
  <c r="E16" i="8" l="1"/>
  <c r="F199" i="8"/>
  <c r="F228" i="8"/>
  <c r="F83" i="8"/>
  <c r="F237" i="8"/>
  <c r="F177" i="8"/>
  <c r="F148" i="8"/>
  <c r="E17" i="8"/>
  <c r="E37" i="8"/>
  <c r="F158" i="8"/>
  <c r="F206" i="8"/>
  <c r="F182" i="8"/>
  <c r="F108" i="8"/>
  <c r="E42" i="8"/>
  <c r="F220" i="8"/>
  <c r="F152" i="8"/>
  <c r="F201" i="8"/>
  <c r="F146" i="8"/>
  <c r="E62" i="8"/>
  <c r="F252" i="8"/>
  <c r="F162" i="8"/>
  <c r="E71" i="8"/>
  <c r="F200" i="8"/>
  <c r="F110" i="8"/>
  <c r="E26" i="8"/>
  <c r="F224" i="8"/>
  <c r="F144" i="8"/>
  <c r="F264" i="8"/>
  <c r="F181" i="8"/>
  <c r="F106" i="8"/>
  <c r="E44" i="8"/>
  <c r="F222" i="8"/>
  <c r="F130" i="8"/>
  <c r="E34" i="8"/>
  <c r="F101" i="8"/>
  <c r="F160" i="8"/>
  <c r="E23" i="8"/>
  <c r="F127" i="8"/>
  <c r="E52" i="8"/>
  <c r="E36" i="8"/>
  <c r="E53" i="8"/>
  <c r="F100" i="8"/>
  <c r="F170" i="8"/>
  <c r="F96" i="8"/>
  <c r="F216" i="8"/>
  <c r="F238" i="8"/>
  <c r="E12" i="8"/>
  <c r="F142" i="8"/>
  <c r="F138" i="8"/>
  <c r="F210" i="8"/>
  <c r="F186" i="8"/>
  <c r="F112" i="8"/>
  <c r="E74" i="8"/>
  <c r="F218" i="8"/>
  <c r="F121" i="8"/>
  <c r="F205" i="8"/>
  <c r="F150" i="8"/>
  <c r="E51" i="8"/>
  <c r="F248" i="8"/>
  <c r="F86" i="8"/>
  <c r="E38" i="8"/>
  <c r="F204" i="8"/>
  <c r="F114" i="8"/>
  <c r="E58" i="8"/>
  <c r="F151" i="8"/>
  <c r="F137" i="8"/>
  <c r="F259" i="8"/>
  <c r="F191" i="8"/>
  <c r="F185" i="8"/>
  <c r="E22" i="8"/>
  <c r="F87" i="8"/>
  <c r="E65" i="8"/>
  <c r="F255" i="8"/>
  <c r="F187" i="8"/>
  <c r="F169" i="8"/>
  <c r="E81" i="8"/>
  <c r="F165" i="8"/>
  <c r="F120" i="8"/>
  <c r="F232" i="8"/>
  <c r="F98" i="8"/>
  <c r="F93" i="8"/>
  <c r="F180" i="8"/>
  <c r="E19" i="8"/>
  <c r="F241" i="8"/>
  <c r="F123" i="8"/>
  <c r="F157" i="8"/>
  <c r="F245" i="8"/>
  <c r="F149" i="8"/>
  <c r="F217" i="8"/>
  <c r="F109" i="8"/>
  <c r="F140" i="8"/>
  <c r="F104" i="8"/>
  <c r="E24" i="8"/>
  <c r="E49" i="8"/>
  <c r="F209" i="8"/>
  <c r="F154" i="8"/>
  <c r="E77" i="8"/>
  <c r="F251" i="8"/>
  <c r="F147" i="8"/>
  <c r="E73" i="8"/>
  <c r="F208" i="8"/>
  <c r="F118" i="8"/>
  <c r="E43" i="8"/>
  <c r="F183" i="8"/>
  <c r="F133" i="8"/>
  <c r="F263" i="8"/>
  <c r="F195" i="8"/>
  <c r="F85" i="8"/>
  <c r="E76" i="8"/>
  <c r="F102" i="8"/>
  <c r="E40" i="8"/>
  <c r="F260" i="8"/>
  <c r="F159" i="8"/>
  <c r="F172" i="8"/>
  <c r="E50" i="8"/>
  <c r="F145" i="8"/>
  <c r="E35" i="8"/>
  <c r="F240" i="8"/>
  <c r="F155" i="8"/>
  <c r="F164" i="8"/>
  <c r="E18" i="8"/>
  <c r="F166" i="8"/>
  <c r="E27" i="8"/>
  <c r="E59" i="8"/>
  <c r="F267" i="8"/>
  <c r="F231" i="8"/>
  <c r="F124" i="8"/>
  <c r="F189" i="8"/>
  <c r="F246" i="8"/>
  <c r="F234" i="8"/>
  <c r="F215" i="8"/>
  <c r="E75" i="8"/>
  <c r="F116" i="8"/>
  <c r="E28" i="8"/>
  <c r="F190" i="8"/>
  <c r="F223" i="8"/>
  <c r="F194" i="8"/>
  <c r="F249" i="8"/>
  <c r="F212" i="8"/>
  <c r="F122" i="8"/>
  <c r="E61" i="8"/>
  <c r="F221" i="8"/>
  <c r="F153" i="8"/>
  <c r="E54" i="8"/>
  <c r="F163" i="8"/>
  <c r="F250" i="8"/>
  <c r="E68" i="8"/>
  <c r="F173" i="8"/>
  <c r="F266" i="8"/>
  <c r="F174" i="8"/>
  <c r="E21" i="8"/>
  <c r="F107" i="8"/>
  <c r="E66" i="8"/>
  <c r="E79" i="8"/>
  <c r="F244" i="8"/>
  <c r="F113" i="8"/>
  <c r="F90" i="8"/>
  <c r="E31" i="8"/>
  <c r="F119" i="8"/>
  <c r="E20" i="8"/>
  <c r="F235" i="8"/>
  <c r="F167" i="8"/>
  <c r="F188" i="8"/>
  <c r="E29" i="8"/>
  <c r="F156" i="8"/>
  <c r="E39" i="8"/>
  <c r="F254" i="8"/>
  <c r="F131" i="8"/>
  <c r="F84" i="8"/>
  <c r="E69" i="8"/>
  <c r="E25" i="8"/>
  <c r="F214" i="8"/>
  <c r="F257" i="8"/>
  <c r="F95" i="8"/>
  <c r="F184" i="8"/>
  <c r="E41" i="8"/>
  <c r="E70" i="8"/>
  <c r="F143" i="8"/>
  <c r="F253" i="8"/>
  <c r="F91" i="8"/>
  <c r="F176" i="8"/>
  <c r="E33" i="8"/>
  <c r="E72" i="8"/>
  <c r="F213" i="8"/>
  <c r="F175" i="8"/>
  <c r="F262" i="8"/>
  <c r="F92" i="8"/>
  <c r="F168" i="8"/>
  <c r="F265" i="8"/>
  <c r="F89" i="8"/>
  <c r="F129" i="8"/>
  <c r="F136" i="8"/>
  <c r="E60" i="8"/>
  <c r="E63" i="8"/>
  <c r="E78" i="8"/>
  <c r="F233" i="8"/>
  <c r="F202" i="8"/>
  <c r="F179" i="8"/>
  <c r="E30" i="8"/>
  <c r="F207" i="8"/>
  <c r="F115" i="8"/>
  <c r="F239" i="8"/>
  <c r="F171" i="8"/>
  <c r="F97" i="8"/>
  <c r="E47" i="8"/>
  <c r="F134" i="8"/>
  <c r="E13" i="8"/>
  <c r="F258" i="8"/>
  <c r="F135" i="8"/>
  <c r="F88" i="8"/>
  <c r="E55" i="8"/>
  <c r="E48" i="8"/>
  <c r="F256" i="8"/>
  <c r="F261" i="8"/>
  <c r="F99" i="8"/>
  <c r="F192" i="8"/>
  <c r="E14" i="8"/>
  <c r="E45" i="8"/>
  <c r="F111" i="8"/>
  <c r="F203" i="8"/>
  <c r="F125" i="8"/>
  <c r="F132" i="8"/>
  <c r="E64" i="8"/>
  <c r="F236" i="8"/>
  <c r="F94" i="8"/>
  <c r="F211" i="8"/>
  <c r="F105" i="8"/>
  <c r="F128" i="8"/>
  <c r="E32" i="8"/>
  <c r="F247" i="8"/>
  <c r="F193" i="8"/>
  <c r="F126" i="8"/>
  <c r="F139" i="8"/>
  <c r="E56" i="8"/>
  <c r="F243" i="8"/>
  <c r="F103" i="8"/>
  <c r="E46" i="8"/>
  <c r="E57" i="8"/>
  <c r="F229" i="8"/>
  <c r="F141" i="8"/>
  <c r="F117" i="8"/>
  <c r="F219" i="8"/>
  <c r="F230" i="8"/>
  <c r="F161" i="8"/>
  <c r="F178" i="8"/>
  <c r="E67" i="8"/>
  <c r="F242" i="8"/>
  <c r="E80" i="8"/>
  <c r="D16" i="8" l="1"/>
  <c r="D83" i="8" s="1"/>
  <c r="E83" i="8"/>
  <c r="E199" i="8"/>
  <c r="E228" i="8"/>
  <c r="E111" i="8"/>
  <c r="E160" i="8"/>
  <c r="E207" i="8"/>
  <c r="D183" i="8"/>
  <c r="D59" i="8"/>
  <c r="E138" i="8"/>
  <c r="E244" i="8"/>
  <c r="D171" i="8"/>
  <c r="D185" i="8"/>
  <c r="D60" i="8"/>
  <c r="D51" i="8"/>
  <c r="D159" i="8"/>
  <c r="E133" i="8"/>
  <c r="E120" i="8"/>
  <c r="E212" i="8"/>
  <c r="D160" i="8"/>
  <c r="D35" i="8"/>
  <c r="D112" i="8"/>
  <c r="E108" i="8"/>
  <c r="E195" i="8"/>
  <c r="E85" i="8"/>
  <c r="E246" i="8"/>
  <c r="D110" i="8"/>
  <c r="D131" i="8"/>
  <c r="D14" i="8"/>
  <c r="D71" i="8"/>
  <c r="D120" i="8"/>
  <c r="E95" i="8"/>
  <c r="E144" i="8"/>
  <c r="E222" i="8"/>
  <c r="E123" i="8"/>
  <c r="D22" i="8"/>
  <c r="E182" i="8"/>
  <c r="E104" i="8"/>
  <c r="E213" i="8"/>
  <c r="D97" i="8"/>
  <c r="D67" i="8"/>
  <c r="D139" i="8"/>
  <c r="D44" i="8"/>
  <c r="D69" i="8"/>
  <c r="E146" i="8"/>
  <c r="E252" i="8"/>
  <c r="D142" i="8"/>
  <c r="D46" i="8"/>
  <c r="E110" i="8"/>
  <c r="D96" i="8"/>
  <c r="E188" i="8"/>
  <c r="D47" i="8"/>
  <c r="E250" i="8"/>
  <c r="D24" i="8"/>
  <c r="E224" i="8"/>
  <c r="E140" i="8"/>
  <c r="D145" i="8"/>
  <c r="E234" i="8"/>
  <c r="D169" i="8"/>
  <c r="E211" i="8"/>
  <c r="E177" i="8"/>
  <c r="E107" i="8"/>
  <c r="E267" i="8"/>
  <c r="D70" i="8"/>
  <c r="D137" i="8"/>
  <c r="D124" i="8"/>
  <c r="E151" i="8"/>
  <c r="D25" i="8"/>
  <c r="D42" i="8"/>
  <c r="E169" i="8"/>
  <c r="E128" i="8"/>
  <c r="E206" i="8"/>
  <c r="D144" i="8"/>
  <c r="D193" i="8"/>
  <c r="E106" i="8"/>
  <c r="E251" i="8"/>
  <c r="D141" i="8"/>
  <c r="D146" i="8"/>
  <c r="D37" i="8"/>
  <c r="D26" i="8"/>
  <c r="D114" i="8"/>
  <c r="E166" i="8"/>
  <c r="E88" i="8"/>
  <c r="E204" i="8"/>
  <c r="D129" i="8"/>
  <c r="D41" i="8"/>
  <c r="D106" i="8"/>
  <c r="E238" i="8"/>
  <c r="E163" i="8"/>
  <c r="E105" i="8"/>
  <c r="E257" i="8"/>
  <c r="D174" i="8"/>
  <c r="D116" i="8"/>
  <c r="D78" i="8"/>
  <c r="E187" i="8"/>
  <c r="D178" i="8"/>
  <c r="E190" i="8"/>
  <c r="E112" i="8"/>
  <c r="E221" i="8"/>
  <c r="E154" i="8"/>
  <c r="D17" i="8"/>
  <c r="E150" i="8"/>
  <c r="E256" i="8"/>
  <c r="D123" i="8"/>
  <c r="D161" i="8"/>
  <c r="D36" i="8"/>
  <c r="D182" i="8"/>
  <c r="D13" i="8"/>
  <c r="D191" i="8"/>
  <c r="E114" i="8"/>
  <c r="E259" i="8"/>
  <c r="D175" i="8"/>
  <c r="D49" i="8"/>
  <c r="E255" i="8"/>
  <c r="E233" i="8"/>
  <c r="E109" i="8"/>
  <c r="D107" i="8"/>
  <c r="E194" i="8"/>
  <c r="D43" i="8"/>
  <c r="E94" i="8"/>
  <c r="E249" i="8"/>
  <c r="D38" i="8"/>
  <c r="E89" i="8"/>
  <c r="D29" i="8"/>
  <c r="E266" i="8"/>
  <c r="D58" i="8"/>
  <c r="E261" i="8"/>
  <c r="D132" i="8"/>
  <c r="D81" i="8"/>
  <c r="E242" i="8"/>
  <c r="D140" i="8"/>
  <c r="E210" i="8"/>
  <c r="E174" i="8"/>
  <c r="E96" i="8"/>
  <c r="E205" i="8"/>
  <c r="D113" i="8"/>
  <c r="E121" i="8"/>
  <c r="E161" i="8"/>
  <c r="E258" i="8"/>
  <c r="D94" i="8"/>
  <c r="D91" i="8"/>
  <c r="D33" i="8"/>
  <c r="E155" i="8"/>
  <c r="D20" i="8"/>
  <c r="E134" i="8"/>
  <c r="E240" i="8"/>
  <c r="D85" i="8"/>
  <c r="D90" i="8"/>
  <c r="D68" i="8"/>
  <c r="D18" i="8"/>
  <c r="E217" i="8"/>
  <c r="E131" i="8"/>
  <c r="E180" i="8"/>
  <c r="E208" i="8"/>
  <c r="D143" i="8"/>
  <c r="D180" i="8"/>
  <c r="D63" i="8"/>
  <c r="E186" i="8"/>
  <c r="D19" i="8"/>
  <c r="E158" i="8"/>
  <c r="E264" i="8"/>
  <c r="D118" i="8"/>
  <c r="E97" i="8"/>
  <c r="D190" i="8"/>
  <c r="E118" i="8"/>
  <c r="E263" i="8"/>
  <c r="D117" i="8"/>
  <c r="D122" i="8"/>
  <c r="D65" i="8"/>
  <c r="D111" i="8"/>
  <c r="D31" i="8"/>
  <c r="E145" i="8"/>
  <c r="E193" i="8"/>
  <c r="E265" i="8"/>
  <c r="D105" i="8"/>
  <c r="D92" i="8"/>
  <c r="D133" i="8"/>
  <c r="D164" i="8"/>
  <c r="E125" i="8"/>
  <c r="D73" i="8"/>
  <c r="E116" i="8"/>
  <c r="D151" i="8"/>
  <c r="E183" i="8"/>
  <c r="D134" i="8"/>
  <c r="E147" i="8"/>
  <c r="E137" i="8"/>
  <c r="E203" i="8"/>
  <c r="D165" i="8"/>
  <c r="D108" i="8"/>
  <c r="E200" i="8"/>
  <c r="E181" i="8"/>
  <c r="D103" i="8"/>
  <c r="E164" i="8"/>
  <c r="E142" i="8"/>
  <c r="E248" i="8"/>
  <c r="D163" i="8"/>
  <c r="D177" i="8"/>
  <c r="E171" i="8"/>
  <c r="E117" i="8"/>
  <c r="E254" i="8"/>
  <c r="D158" i="8"/>
  <c r="D100" i="8"/>
  <c r="D62" i="8"/>
  <c r="E122" i="8"/>
  <c r="D194" i="8"/>
  <c r="E102" i="8"/>
  <c r="E247" i="8"/>
  <c r="D149" i="8"/>
  <c r="D154" i="8"/>
  <c r="D45" i="8"/>
  <c r="D40" i="8"/>
  <c r="D126" i="8"/>
  <c r="E99" i="8"/>
  <c r="E148" i="8"/>
  <c r="E216" i="8"/>
  <c r="D104" i="8"/>
  <c r="D74" i="8"/>
  <c r="D99" i="8"/>
  <c r="E90" i="8"/>
  <c r="D188" i="8"/>
  <c r="E126" i="8"/>
  <c r="E232" i="8"/>
  <c r="D87" i="8"/>
  <c r="E260" i="8"/>
  <c r="E157" i="8"/>
  <c r="E86" i="8"/>
  <c r="E231" i="8"/>
  <c r="D181" i="8"/>
  <c r="D186" i="8"/>
  <c r="D77" i="8"/>
  <c r="D136" i="8"/>
  <c r="D138" i="8"/>
  <c r="E179" i="8"/>
  <c r="E141" i="8"/>
  <c r="E230" i="8"/>
  <c r="D130" i="8"/>
  <c r="D12" i="8"/>
  <c r="D192" i="8"/>
  <c r="E139" i="8"/>
  <c r="D127" i="8"/>
  <c r="E172" i="8"/>
  <c r="D102" i="8"/>
  <c r="D89" i="8"/>
  <c r="D168" i="8"/>
  <c r="E189" i="8"/>
  <c r="E239" i="8"/>
  <c r="E153" i="8"/>
  <c r="D179" i="8"/>
  <c r="D50" i="8"/>
  <c r="D84" i="8"/>
  <c r="D86" i="8"/>
  <c r="D156" i="8"/>
  <c r="D184" i="8"/>
  <c r="E113" i="8"/>
  <c r="E173" i="8"/>
  <c r="E191" i="8"/>
  <c r="D115" i="8"/>
  <c r="D187" i="8"/>
  <c r="D39" i="8"/>
  <c r="E175" i="8"/>
  <c r="E129" i="8"/>
  <c r="E262" i="8"/>
  <c r="D150" i="8"/>
  <c r="D56" i="8"/>
  <c r="E149" i="8"/>
  <c r="E124" i="8"/>
  <c r="E202" i="8"/>
  <c r="D152" i="8"/>
  <c r="D21" i="8"/>
  <c r="D176" i="8"/>
  <c r="E219" i="8"/>
  <c r="E135" i="8"/>
  <c r="E184" i="8"/>
  <c r="E229" i="8"/>
  <c r="D135" i="8"/>
  <c r="D172" i="8"/>
  <c r="D55" i="8"/>
  <c r="E91" i="8"/>
  <c r="D30" i="8"/>
  <c r="E130" i="8"/>
  <c r="E236" i="8"/>
  <c r="D93" i="8"/>
  <c r="D98" i="8"/>
  <c r="D76" i="8"/>
  <c r="D32" i="8"/>
  <c r="E218" i="8"/>
  <c r="E159" i="8"/>
  <c r="E101" i="8"/>
  <c r="E253" i="8"/>
  <c r="D28" i="8"/>
  <c r="D95" i="8"/>
  <c r="E119" i="8"/>
  <c r="E168" i="8"/>
  <c r="E215" i="8"/>
  <c r="D167" i="8"/>
  <c r="D34" i="8"/>
  <c r="D48" i="8"/>
  <c r="D148" i="8"/>
  <c r="D64" i="8"/>
  <c r="E185" i="8"/>
  <c r="E132" i="8"/>
  <c r="E209" i="8"/>
  <c r="D75" i="8"/>
  <c r="D72" i="8"/>
  <c r="D88" i="8"/>
  <c r="E165" i="8"/>
  <c r="E98" i="8"/>
  <c r="D157" i="8"/>
  <c r="D53" i="8"/>
  <c r="D61" i="8"/>
  <c r="E127" i="8"/>
  <c r="E223" i="8"/>
  <c r="D153" i="8"/>
  <c r="E214" i="8"/>
  <c r="D128" i="8"/>
  <c r="E241" i="8"/>
  <c r="D155" i="8"/>
  <c r="E100" i="8"/>
  <c r="D125" i="8"/>
  <c r="E156" i="8"/>
  <c r="D166" i="8"/>
  <c r="E84" i="8"/>
  <c r="E235" i="8"/>
  <c r="E245" i="8"/>
  <c r="D52" i="8"/>
  <c r="E143" i="8"/>
  <c r="E192" i="8"/>
  <c r="E237" i="8"/>
  <c r="D119" i="8"/>
  <c r="D54" i="8"/>
  <c r="E170" i="8"/>
  <c r="E92" i="8"/>
  <c r="E201" i="8"/>
  <c r="D121" i="8"/>
  <c r="D80" i="8"/>
  <c r="D147" i="8"/>
  <c r="D109" i="8"/>
  <c r="E103" i="8"/>
  <c r="E152" i="8"/>
  <c r="E220" i="8"/>
  <c r="D66" i="8"/>
  <c r="D101" i="8"/>
  <c r="D195" i="8"/>
  <c r="E243" i="8"/>
  <c r="D162" i="8"/>
  <c r="D173" i="8"/>
  <c r="E176" i="8"/>
  <c r="D189" i="8"/>
  <c r="E87" i="8"/>
  <c r="E136" i="8"/>
  <c r="D23" i="8"/>
  <c r="D57" i="8"/>
  <c r="E178" i="8"/>
  <c r="D27" i="8"/>
  <c r="D79" i="8"/>
  <c r="E167" i="8"/>
  <c r="E162" i="8"/>
  <c r="D170" i="8"/>
  <c r="E93" i="8"/>
  <c r="E115" i="8"/>
  <c r="D228" i="8" l="1"/>
  <c r="D199" i="8"/>
  <c r="D258" i="8"/>
  <c r="D235" i="8"/>
  <c r="D200" i="8"/>
  <c r="D221" i="8"/>
  <c r="D261" i="8"/>
  <c r="D230" i="8"/>
  <c r="D212" i="8"/>
  <c r="D213" i="8"/>
  <c r="D215" i="8"/>
  <c r="D250" i="8"/>
  <c r="D253" i="8"/>
  <c r="D266" i="8"/>
  <c r="D243" i="8"/>
  <c r="D208" i="8"/>
  <c r="D201" i="8"/>
  <c r="D262" i="8"/>
  <c r="D238" i="8"/>
  <c r="D220" i="8"/>
  <c r="D257" i="8"/>
  <c r="D252" i="8"/>
  <c r="D249" i="8"/>
  <c r="D206" i="8"/>
  <c r="D219" i="8"/>
  <c r="D251" i="8"/>
  <c r="D216" i="8"/>
  <c r="D209" i="8"/>
  <c r="D231" i="8"/>
  <c r="D246" i="8"/>
  <c r="D232" i="8"/>
  <c r="D240" i="8"/>
  <c r="D255" i="8"/>
  <c r="D264" i="8"/>
  <c r="D218" i="8"/>
  <c r="D214" i="8"/>
  <c r="D247" i="8"/>
  <c r="D259" i="8"/>
  <c r="D224" i="8"/>
  <c r="D217" i="8"/>
  <c r="D263" i="8"/>
  <c r="D254" i="8"/>
  <c r="D242" i="8"/>
  <c r="D233" i="8"/>
  <c r="D204" i="8"/>
  <c r="D222" i="8"/>
  <c r="D241" i="8"/>
  <c r="D267" i="8"/>
  <c r="D236" i="8"/>
  <c r="D229" i="8"/>
  <c r="D265" i="8"/>
  <c r="D203" i="8"/>
  <c r="D248" i="8"/>
  <c r="D245" i="8"/>
  <c r="D223" i="8"/>
  <c r="D205" i="8"/>
  <c r="D234" i="8"/>
  <c r="D207" i="8"/>
  <c r="D211" i="8"/>
  <c r="D244" i="8"/>
  <c r="D237" i="8"/>
  <c r="D202" i="8"/>
  <c r="D239" i="8"/>
  <c r="D256" i="8"/>
  <c r="D210" i="8"/>
  <c r="D26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<sst xmlns="http://schemas.openxmlformats.org/spreadsheetml/2006/main" count="269" uniqueCount="255">
  <si>
    <r>
      <t>Demostrativo Financeiro IFRS (</t>
    </r>
    <r>
      <rPr>
        <b/>
        <sz val="16"/>
        <color rgb="FFC59C00"/>
        <rFont val="Calibri"/>
        <family val="2"/>
        <scheme val="minor"/>
      </rPr>
      <t>Empresas Brasileiras Não Financeiras</t>
    </r>
    <r>
      <rPr>
        <b/>
        <sz val="16"/>
        <color rgb="FF006B66"/>
        <rFont val="Calibri"/>
        <family val="2"/>
        <scheme val="minor"/>
      </rPr>
      <t>)</t>
    </r>
  </si>
  <si>
    <t>Dta.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</si>
  <si>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Não</t>
    </r>
    <r>
      <rPr>
        <b/>
        <sz val="10"/>
        <color rgb="FF006B66"/>
        <rFont val="Calibri"/>
        <family val="2"/>
        <scheme val="minor"/>
      </rPr>
      <t xml:space="preserve"> Modificar</t>
    </r>
  </si>
  <si>
    <t>Dta. Pref. Últ. Cot.: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</si>
  <si>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Para alterar a data da </t>
    </r>
    <r>
      <rPr>
        <b/>
        <sz val="10"/>
        <color rgb="FFC00000"/>
        <rFont val="Calibri"/>
        <family val="2"/>
        <scheme val="minor"/>
      </rPr>
      <t>Célula C3</t>
    </r>
    <r>
      <rPr>
        <b/>
        <sz val="10"/>
        <color rgb="FF006B66"/>
        <rFont val="Calibri"/>
        <family val="2"/>
        <scheme val="minor"/>
      </rPr>
      <t>, basta digitar na</t>
    </r>
    <r>
      <rPr>
        <b/>
        <sz val="10"/>
        <color rgb="FFC59C0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Célula C4</t>
    </r>
  </si>
  <si>
    <t>Código:</t>
  </si>
  <si>
    <t>PETR4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</si>
  <si>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Digitar </t>
    </r>
    <r>
      <rPr>
        <b/>
        <sz val="10"/>
        <color rgb="FFC00000"/>
        <rFont val="Calibri"/>
        <family val="2"/>
        <scheme val="minor"/>
      </rPr>
      <t>Código</t>
    </r>
  </si>
  <si>
    <t>Empresa:</t>
  </si>
  <si>
    <t>Multiplicador:</t>
  </si>
  <si>
    <t>Thousands</t>
  </si>
  <si>
    <r>
      <rPr>
        <b/>
        <sz val="10"/>
        <color rgb="FFC00000"/>
        <rFont val="Calibri"/>
        <family val="2"/>
        <scheme val="minor"/>
      </rPr>
      <t>←</t>
    </r>
    <r>
      <rPr>
        <b/>
        <sz val="10"/>
        <color rgb="FF006B66"/>
        <rFont val="Calibri"/>
        <family val="2"/>
        <scheme val="minor"/>
      </rPr>
      <t xml:space="preserve"> Escolha unidade em (</t>
    </r>
    <r>
      <rPr>
        <b/>
        <sz val="10"/>
        <color rgb="FFC00000"/>
        <rFont val="Calibri"/>
        <family val="2"/>
        <scheme val="minor"/>
      </rPr>
      <t>Units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Thousands</t>
    </r>
    <r>
      <rPr>
        <b/>
        <sz val="10"/>
        <color rgb="FF006B66"/>
        <rFont val="Calibri"/>
        <family val="2"/>
        <scheme val="minor"/>
      </rPr>
      <t>,</t>
    </r>
    <r>
      <rPr>
        <b/>
        <sz val="10"/>
        <color rgb="FFC00000"/>
        <rFont val="Calibri"/>
        <family val="2"/>
        <scheme val="minor"/>
      </rPr>
      <t xml:space="preserve"> Millions</t>
    </r>
    <r>
      <rPr>
        <b/>
        <sz val="10"/>
        <color rgb="FF006B66"/>
        <rFont val="Calibri"/>
        <family val="2"/>
        <scheme val="minor"/>
      </rPr>
      <t xml:space="preserve">, </t>
    </r>
    <r>
      <rPr>
        <b/>
        <sz val="10"/>
        <color rgb="FFC00000"/>
        <rFont val="Calibri"/>
        <family val="2"/>
        <scheme val="minor"/>
      </rPr>
      <t>Billions</t>
    </r>
    <r>
      <rPr>
        <b/>
        <sz val="10"/>
        <color rgb="FF006B66"/>
        <rFont val="Calibri"/>
        <family val="2"/>
        <scheme val="minor"/>
      </rPr>
      <t>)</t>
    </r>
  </si>
  <si>
    <t>Balanço Cons. ou Ind.</t>
  </si>
  <si>
    <t>Balanço:</t>
  </si>
  <si>
    <t>1 - BALANÇO PATRIMONIAL (CVM)</t>
  </si>
  <si>
    <t>Link Notas Explicativas</t>
  </si>
  <si>
    <t>Balanço Consolidado</t>
  </si>
  <si>
    <t>Método Contábil</t>
  </si>
  <si>
    <t>ATIVO</t>
  </si>
  <si>
    <t>Ativo total</t>
  </si>
  <si>
    <t>Ativo Circulante</t>
  </si>
  <si>
    <t>Caixa e equival caixa</t>
  </si>
  <si>
    <t>Aplicacoes financeiras</t>
  </si>
  <si>
    <t>Apl fin avali vlr jus CP</t>
  </si>
  <si>
    <t>Apli fin avaliadas a valor justo atraves do resultado CP</t>
  </si>
  <si>
    <t>Titulos para negociacao CP</t>
  </si>
  <si>
    <t>Titulos designados a valor justo CP</t>
  </si>
  <si>
    <t>Outros</t>
  </si>
  <si>
    <t>Apli fin aval a vlr justo atraves de outros resul abran CP</t>
  </si>
  <si>
    <t>Apl fi aval custo amo CP</t>
  </si>
  <si>
    <t>Contas a receber CP</t>
  </si>
  <si>
    <t>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</si>
  <si>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</si>
  <si>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</si>
  <si>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</si>
  <si>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</si>
  <si>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</si>
  <si>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</si>
  <si>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</si>
  <si>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</si>
  <si>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</si>
  <si>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</si>
  <si>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</si>
  <si>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</si>
  <si>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 fin avali vlr jus LP</t>
  </si>
  <si>
    <t xml:space="preserve"> Apli fin avaliadas a valor justo atraves do resultado LP</t>
  </si>
  <si>
    <t xml:space="preserve"> Titulos designados a valor justo LP</t>
  </si>
  <si>
    <t xml:space="preserve"> Outros</t>
  </si>
  <si>
    <t xml:space="preserve"> Apl fin Aval a vlr jus atraves de outros result. abran LP</t>
  </si>
  <si>
    <t xml:space="preserve"> Apl fi aval custo amo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</si>
  <si>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</si>
  <si>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</si>
  <si>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</si>
  <si>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</si>
  <si>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</si>
  <si>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</si>
  <si>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</si>
  <si>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</si>
  <si>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</si>
  <si>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</si>
  <si>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</si>
  <si>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</si>
  <si>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</si>
  <si>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</si>
  <si>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</si>
  <si>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</si>
  <si>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</si>
  <si>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</si>
  <si>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</si>
  <si>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</si>
  <si>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</si>
  <si>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</si>
  <si>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</si>
  <si>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</si>
  <si>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</si>
  <si>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</si>
  <si>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</si>
  <si>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</si>
  <si>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</si>
  <si>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</si>
  <si>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</si>
  <si>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</si>
  <si>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</si>
  <si>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</si>
  <si>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</si>
  <si>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</si>
  <si>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</si>
  <si>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</si>
  <si>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</si>
  <si>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</si>
  <si>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</si>
  <si>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</si>
  <si>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</si>
  <si>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</si>
  <si>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</si>
  <si>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</si>
  <si>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</si>
  <si>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</si>
  <si>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</si>
  <si>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</si>
  <si>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</si>
  <si>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</si>
  <si>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 com part relac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</si>
  <si>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</si>
  <si>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</si>
  <si>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</si>
  <si>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</si>
  <si>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</si>
  <si>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</si>
  <si>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</si>
  <si>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</si>
  <si>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</si>
  <si>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</si>
  <si>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</si>
  <si>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</si>
  <si>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 p/benef a empreg CP</t>
  </si>
  <si>
    <t xml:space="preserve"> Provisoes civeis CP</t>
  </si>
  <si>
    <t xml:space="preserve"> Outr provi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</si>
  <si>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</si>
  <si>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</si>
  <si>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</si>
  <si>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</si>
  <si>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</si>
  <si>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</si>
  <si>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</si>
  <si>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</si>
  <si>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</si>
  <si>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</si>
  <si>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</si>
  <si>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</si>
  <si>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</si>
  <si>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</si>
  <si>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 com part relac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</si>
  <si>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</si>
  <si>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</si>
  <si>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</si>
  <si>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</si>
  <si>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</si>
  <si>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</si>
  <si>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</si>
  <si>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</si>
  <si>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</si>
  <si>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</si>
  <si>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</si>
  <si>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</si>
  <si>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</si>
  <si>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 p/ benefic a empreg</t>
  </si>
  <si>
    <t xml:space="preserve"> Provisoes civeis LP</t>
  </si>
  <si>
    <t xml:space="preserve"> Outras prov a longo praz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</si>
  <si>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</si>
  <si>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</si>
  <si>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</si>
  <si>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</si>
  <si>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</si>
  <si>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</si>
  <si>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</si>
  <si>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</si>
  <si>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</si>
  <si>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</si>
  <si>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</si>
  <si>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</si>
  <si>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</si>
  <si>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</si>
  <si>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</si>
  <si>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</si>
  <si>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</si>
  <si>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</si>
  <si>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</si>
  <si>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</si>
  <si>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</si>
  <si>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</si>
  <si>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</si>
  <si>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</si>
  <si>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</si>
  <si>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</si>
  <si>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</si>
  <si>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</si>
  <si>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</si>
  <si>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</si>
  <si>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</si>
  <si>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</si>
  <si>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</si>
  <si>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</si>
  <si>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</si>
  <si>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</si>
  <si>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2 - DEMONSTRATIVO DE RESULTADO (CVM)</t>
  </si>
  <si>
    <t>DRE</t>
  </si>
  <si>
    <t>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</si>
  <si>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</si>
  <si>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</si>
  <si>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</si>
  <si>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</si>
  <si>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</si>
  <si>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</si>
  <si>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</si>
  <si>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</si>
  <si>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</si>
  <si>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</si>
  <si>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</si>
  <si>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</si>
  <si>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</si>
  <si>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</si>
  <si>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</si>
  <si>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>Provisao impost de rend</t>
  </si>
  <si>
    <t>IR Diferido</t>
  </si>
  <si>
    <t>=Lucro oper continuadas</t>
  </si>
  <si>
    <t>+Operac descontinuadas</t>
  </si>
  <si>
    <t>Lu ou prej liq oper desc</t>
  </si>
  <si>
    <t>Ga ou pe liq s/atv op de</t>
  </si>
  <si>
    <t>=Lucro Consolidado</t>
  </si>
  <si>
    <t>-Partic acion minoritar</t>
  </si>
  <si>
    <t>=Lucro liquido</t>
  </si>
  <si>
    <t>3 - FLUXO DE CAIXA (CVM)</t>
  </si>
  <si>
    <t>FLUXO DE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</si>
  <si>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</si>
  <si>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</si>
  <si>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</si>
  <si>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</si>
  <si>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</si>
  <si>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</si>
  <si>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</si>
  <si>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</si>
  <si>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</si>
  <si>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</si>
  <si>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</si>
  <si>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</si>
  <si>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</si>
  <si>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</si>
  <si>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</si>
  <si>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</si>
  <si>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</si>
  <si>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</si>
  <si>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</si>
  <si>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</si>
  <si>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</si>
  <si>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</si>
  <si>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</si>
  <si>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</si>
  <si>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</si>
  <si>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</si>
  <si>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</si>
  <si>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</si>
  <si>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</si>
  <si>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</si>
  <si>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</si>
  <si>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</si>
  <si>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</si>
  <si>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</si>
  <si>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</si>
  <si>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</si>
  <si>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</si>
  <si>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</si>
  <si>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</si>
  <si>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Versão:</t>
  </si>
  <si>
    <t>v220422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</si>
</sst>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dd/mm/yy;@"/>
    <numFmt numFmtId="165" formatCode="#,##0_ ;[Red]\-#,##0\ "/>
    <numFmt numFmtId="166" formatCode="&quot;R$&quot;\ #,##0"/>
  </numFmts>
  <fonts count="34"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0015AA"/>
      <name val="Calibri"/>
      <family val="2"/>
      <scheme val="minor"/>
    </font>
    <font>
      <sz val="10"/>
      <color rgb="FF3297D3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0"/>
      <color rgb="FF006B66"/>
      <name val="Arial"/>
      <family val="2"/>
    </font>
    <font>
      <b/>
      <sz val="10"/>
      <color rgb="FF006B66"/>
      <name val="Calibri"/>
      <family val="2"/>
      <scheme val="minor"/>
    </font>
    <font>
      <b/>
      <sz val="12"/>
      <color rgb="FF006B66"/>
      <name val="Calibri"/>
      <family val="2"/>
      <scheme val="minor"/>
    </font>
    <font>
      <sz val="10"/>
      <color rgb="FF006B66"/>
      <name val="Calibri"/>
      <family val="2"/>
      <scheme val="minor"/>
    </font>
    <font>
      <b/>
      <sz val="16"/>
      <color rgb="FF006B66"/>
      <name val="Calibri"/>
      <family val="2"/>
      <scheme val="minor"/>
    </font>
    <font>
      <b/>
      <sz val="16"/>
      <color rgb="FFC59C00"/>
      <name val="Calibri"/>
      <family val="2"/>
      <scheme val="minor"/>
    </font>
    <font>
      <b/>
      <sz val="13"/>
      <color rgb="FFDAE2DD"/>
      <name val="Calibri"/>
      <family val="2"/>
      <scheme val="minor"/>
    </font>
    <font>
      <b/>
      <sz val="12"/>
      <color rgb="FFC59C00"/>
      <name val="Calibri"/>
      <family val="2"/>
      <scheme val="minor"/>
    </font>
    <font>
      <b/>
      <sz val="10"/>
      <color rgb="FFC59C00"/>
      <name val="Calibri"/>
      <family val="2"/>
      <scheme val="minor"/>
    </font>
    <font>
      <b/>
      <sz val="12"/>
      <color rgb="FFDAE2DD"/>
      <name val="Calibri"/>
      <family val="2"/>
      <scheme val="minor"/>
    </font>
    <font>
      <b/>
      <sz val="10"/>
      <color rgb="FFDAE2D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076B66"/>
      <name val="Calibri"/>
      <family val="2"/>
      <scheme val="minor"/>
    </font>
    <font>
      <sz val="10"/>
      <color theme="0"/>
      <name val="Calibri"/>
      <family val="2"/>
      <scheme val="minor"/>
    </font>
    <font>
      <sz val="6"/>
      <color theme="1" tint="0.249977111117893"/>
      <name val="Calibri"/>
      <family val="2"/>
      <scheme val="minor"/>
    </font>
    <font>
      <b/>
      <sz val="10"/>
      <color rgb="FF0015AA"/>
      <name val="Calibri"/>
      <family val="2"/>
      <scheme val="minor"/>
    </font>
    <font>
      <b/>
      <sz val="10"/>
      <color rgb="FF3297D3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DAE2DD"/>
        <bgColor indexed="64"/>
      </patternFill>
    </fill>
    <fill>
      <patternFill patternType="solid">
        <fgColor rgb="FF006B66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 style="thick">
        <color rgb="FFC59C00"/>
      </right>
      <top style="hair">
        <color rgb="FFC59C00"/>
      </top>
      <bottom style="hair">
        <color rgb="FFC59C00"/>
      </bottom>
      <diagonal/>
    </border>
    <border>
      <left/>
      <right style="thick">
        <color rgb="FFC59C00"/>
      </right>
      <top style="hair">
        <color rgb="FFC59C00"/>
      </top>
      <bottom/>
      <diagonal/>
    </border>
    <border>
      <left/>
      <right/>
      <top/>
      <bottom style="thick">
        <color rgb="FFC59C00"/>
      </bottom>
      <diagonal/>
    </border>
    <border>
      <left/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/>
      <top style="thick">
        <color rgb="FFC59C00"/>
      </top>
      <bottom style="hair">
        <color rgb="FF006B66"/>
      </bottom>
      <diagonal/>
    </border>
    <border>
      <left/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medium">
        <color rgb="FF006B66"/>
      </left>
      <right/>
      <top style="hair">
        <color rgb="FF006B66"/>
      </top>
      <bottom style="hair">
        <color rgb="FF006B66"/>
      </bottom>
      <diagonal/>
    </border>
    <border>
      <left style="medium">
        <color rgb="FF006B66"/>
      </left>
      <right style="thick">
        <color rgb="FFC59C00"/>
      </right>
      <top style="thick">
        <color rgb="FFC59C00"/>
      </top>
      <bottom style="hair">
        <color rgb="FF006B66"/>
      </bottom>
      <diagonal/>
    </border>
    <border>
      <left style="medium">
        <color rgb="FF006B66"/>
      </left>
      <right style="thick">
        <color rgb="FFC59C00"/>
      </right>
      <top style="hair">
        <color rgb="FF006B66"/>
      </top>
      <bottom style="hair">
        <color rgb="FF006B66"/>
      </bottom>
      <diagonal/>
    </border>
    <border>
      <left style="thin">
        <color theme="0"/>
      </left>
      <right style="medium">
        <color rgb="FFC59C00"/>
      </right>
      <top/>
      <bottom style="thick">
        <color rgb="FFC59C00"/>
      </bottom>
      <diagonal/>
    </border>
    <border>
      <left style="medium">
        <color rgb="FFC59C00"/>
      </left>
      <right style="medium">
        <color rgb="FFC59C00"/>
      </right>
      <top/>
      <bottom style="thick">
        <color rgb="FFC59C00"/>
      </bottom>
      <diagonal/>
    </border>
    <border>
      <left style="medium">
        <color rgb="FFC59C00"/>
      </left>
      <right style="thin">
        <color theme="0"/>
      </right>
      <top/>
      <bottom style="thick">
        <color rgb="FFC59C00"/>
      </bottom>
      <diagonal/>
    </border>
    <border>
      <left/>
      <right style="medium">
        <color rgb="FF006B66"/>
      </right>
      <top style="hair">
        <color rgb="FF006B66"/>
      </top>
      <bottom style="thick">
        <color rgb="FFC59C00"/>
      </bottom>
      <diagonal/>
    </border>
    <border>
      <left style="medium">
        <color rgb="FF006B66"/>
      </left>
      <right style="medium">
        <color rgb="FF006B66"/>
      </right>
      <top style="hair">
        <color rgb="FF006B66"/>
      </top>
      <bottom style="thick">
        <color rgb="FFC59C00"/>
      </bottom>
      <diagonal/>
    </border>
    <border>
      <left style="medium">
        <color rgb="FF006B66"/>
      </left>
      <right/>
      <top style="hair">
        <color rgb="FF006B66"/>
      </top>
      <bottom style="thick">
        <color rgb="FFC59C00"/>
      </bottom>
      <diagonal/>
    </border>
    <border>
      <left style="medium">
        <color rgb="FF006B66"/>
      </left>
      <right style="thick">
        <color rgb="FFC59C00"/>
      </right>
      <top style="hair">
        <color rgb="FF006B66"/>
      </top>
      <bottom style="thick">
        <color rgb="FFC59C00"/>
      </bottom>
      <diagonal/>
    </border>
    <border>
      <left style="thin">
        <color theme="0"/>
      </left>
      <right style="medium">
        <color rgb="FFC59C00"/>
      </right>
      <top style="thin">
        <color theme="0"/>
      </top>
      <bottom style="thick">
        <color rgb="FFC59C00"/>
      </bottom>
      <diagonal/>
    </border>
    <border>
      <left style="medium">
        <color rgb="FFC59C00"/>
      </left>
      <right style="medium">
        <color rgb="FFC59C00"/>
      </right>
      <top style="thin">
        <color theme="0"/>
      </top>
      <bottom style="thick">
        <color rgb="FFC59C00"/>
      </bottom>
      <diagonal/>
    </border>
    <border>
      <left style="medium">
        <color rgb="FFC59C00"/>
      </left>
      <right style="thin">
        <color theme="0"/>
      </right>
      <top style="thin">
        <color theme="0"/>
      </top>
      <bottom style="thick">
        <color rgb="FFC59C00"/>
      </bottom>
      <diagonal/>
    </border>
    <border>
      <left/>
      <right/>
      <top style="hair">
        <color rgb="FFC59C00"/>
      </top>
      <bottom/>
      <diagonal/>
    </border>
    <border>
      <left style="thick">
        <color rgb="FFC59C00"/>
      </left>
      <right/>
      <top/>
      <bottom style="hair">
        <color rgb="FFC59C00"/>
      </bottom>
      <diagonal/>
    </border>
    <border>
      <left style="thick">
        <color rgb="FFC59C00"/>
      </left>
      <right/>
      <top style="hair">
        <color rgb="FFC59C00"/>
      </top>
      <bottom style="hair">
        <color rgb="FFC59C00"/>
      </bottom>
      <diagonal/>
    </border>
    <border>
      <left/>
      <right/>
      <top/>
      <bottom style="hair">
        <color rgb="FFC59C00"/>
      </bottom>
      <diagonal/>
    </border>
    <border>
      <left style="thick">
        <color rgb="FFC59C00"/>
      </left>
      <right style="medium">
        <color rgb="FF006B66"/>
      </right>
      <top style="thick">
        <color rgb="FFC59C00"/>
      </top>
      <bottom style="hair">
        <color rgb="FF006B66"/>
      </bottom>
      <diagonal/>
    </border>
    <border>
      <left style="thick">
        <color rgb="FFC59C00"/>
      </left>
      <right style="medium">
        <color rgb="FF006B66"/>
      </right>
      <top style="hair">
        <color rgb="FF006B66"/>
      </top>
      <bottom style="hair">
        <color rgb="FF006B66"/>
      </bottom>
      <diagonal/>
    </border>
    <border>
      <left style="thick">
        <color rgb="FFC59C00"/>
      </left>
      <right style="medium">
        <color rgb="FF006B66"/>
      </right>
      <top style="hair">
        <color rgb="FF006B66"/>
      </top>
      <bottom style="thick">
        <color rgb="FFC59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8">
    <xf numFmtId="0" fontId="0" fillId="0" borderId="0" xfId="0"/>
    <xf numFmtId="37" fontId="1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7" fontId="5" fillId="0" borderId="0" xfId="0" applyNumberFormat="1" applyFont="1" applyAlignment="1">
      <alignment horizontal="center" vertical="center"/>
    </xf>
    <xf numFmtId="37" fontId="3" fillId="0" borderId="0" xfId="0" applyNumberFormat="1" applyFont="1" applyAlignment="1">
      <alignment horizontal="center" vertical="center"/>
    </xf>
    <xf numFmtId="37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7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23" fillId="4" borderId="13" xfId="0" quotePrefix="1" applyNumberFormat="1" applyFont="1" applyFill="1" applyBorder="1" applyAlignment="1" applyProtection="1">
      <alignment horizontal="center" vertical="center"/>
      <protection locked="0"/>
    </xf>
    <xf numFmtId="14" fontId="23" fillId="4" borderId="14" xfId="0" quotePrefix="1" applyNumberFormat="1" applyFont="1" applyFill="1" applyBorder="1" applyAlignment="1" applyProtection="1">
      <alignment horizontal="center" vertical="center"/>
      <protection locked="0"/>
    </xf>
    <xf numFmtId="165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165" fontId="3" fillId="0" borderId="16" xfId="1" applyNumberFormat="1" applyFont="1" applyBorder="1" applyAlignment="1">
      <alignment horizontal="center" vertical="center"/>
    </xf>
    <xf numFmtId="165" fontId="3" fillId="0" borderId="17" xfId="1" applyNumberFormat="1" applyFont="1" applyBorder="1" applyAlignment="1">
      <alignment horizontal="center" vertical="center"/>
    </xf>
    <xf numFmtId="165" fontId="5" fillId="0" borderId="4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65" fontId="3" fillId="3" borderId="7" xfId="1" applyNumberFormat="1" applyFont="1" applyFill="1" applyBorder="1" applyAlignment="1">
      <alignment horizontal="center" vertical="center"/>
    </xf>
    <xf numFmtId="165" fontId="3" fillId="3" borderId="8" xfId="1" applyNumberFormat="1" applyFont="1" applyFill="1" applyBorder="1" applyAlignment="1">
      <alignment horizontal="center" vertical="center"/>
    </xf>
    <xf numFmtId="165" fontId="3" fillId="3" borderId="9" xfId="1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5" fontId="3" fillId="3" borderId="15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37" fontId="19" fillId="0" borderId="0" xfId="0" applyNumberFormat="1" applyFont="1" applyAlignment="1">
      <alignment horizontal="center" vertical="center"/>
    </xf>
    <xf numFmtId="164" fontId="23" fillId="4" borderId="20" xfId="0" quotePrefix="1" applyNumberFormat="1" applyFont="1" applyFill="1" applyBorder="1" applyAlignment="1" applyProtection="1">
      <alignment horizontal="center" vertical="center"/>
      <protection locked="0"/>
    </xf>
    <xf numFmtId="14" fontId="23" fillId="4" borderId="21" xfId="0" quotePrefix="1" applyNumberFormat="1" applyFont="1" applyFill="1" applyBorder="1" applyAlignment="1" applyProtection="1">
      <alignment horizontal="center" vertical="center"/>
      <protection locked="0"/>
    </xf>
    <xf numFmtId="165" fontId="5" fillId="0" borderId="9" xfId="1" applyNumberFormat="1" applyFont="1" applyBorder="1" applyAlignment="1">
      <alignment horizontal="center" vertical="center"/>
    </xf>
    <xf numFmtId="165" fontId="5" fillId="0" borderId="17" xfId="1" applyNumberFormat="1" applyFont="1" applyBorder="1" applyAlignment="1">
      <alignment horizontal="center" vertical="center"/>
    </xf>
    <xf numFmtId="165" fontId="5" fillId="0" borderId="7" xfId="1" applyNumberFormat="1" applyFont="1" applyBorder="1" applyAlignment="1">
      <alignment horizontal="center" vertical="center"/>
    </xf>
    <xf numFmtId="165" fontId="5" fillId="0" borderId="15" xfId="1" applyNumberFormat="1" applyFont="1" applyBorder="1" applyAlignment="1">
      <alignment horizontal="center" vertical="center"/>
    </xf>
    <xf numFmtId="165" fontId="5" fillId="3" borderId="7" xfId="1" applyNumberFormat="1" applyFont="1" applyFill="1" applyBorder="1" applyAlignment="1">
      <alignment horizontal="center" vertical="center"/>
    </xf>
    <xf numFmtId="165" fontId="5" fillId="3" borderId="9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14" fontId="15" fillId="0" borderId="24" xfId="0" applyNumberFormat="1" applyFont="1" applyBorder="1" applyAlignment="1">
      <alignment horizontal="center" vertical="center"/>
    </xf>
    <xf numFmtId="37" fontId="15" fillId="0" borderId="24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4" fontId="20" fillId="3" borderId="24" xfId="0" applyNumberFormat="1" applyFont="1" applyFill="1" applyBorder="1" applyAlignment="1">
      <alignment horizontal="center" vertical="center"/>
    </xf>
    <xf numFmtId="14" fontId="20" fillId="0" borderId="24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37" fontId="26" fillId="0" borderId="0" xfId="0" applyNumberFormat="1" applyFont="1" applyAlignment="1">
      <alignment horizontal="center" vertical="center"/>
    </xf>
    <xf numFmtId="0" fontId="27" fillId="0" borderId="22" xfId="0" applyFont="1" applyBorder="1" applyAlignment="1">
      <alignment horizontal="left" vertical="center"/>
    </xf>
    <xf numFmtId="0" fontId="6" fillId="0" borderId="4" xfId="2" applyFill="1" applyBorder="1" applyAlignment="1">
      <alignment horizontal="center" vertical="center"/>
    </xf>
    <xf numFmtId="165" fontId="5" fillId="0" borderId="26" xfId="1" applyNumberFormat="1" applyFont="1" applyBorder="1" applyAlignment="1">
      <alignment horizontal="center" vertical="center"/>
    </xf>
    <xf numFmtId="165" fontId="3" fillId="3" borderId="27" xfId="1" applyNumberFormat="1" applyFont="1" applyFill="1" applyBorder="1" applyAlignment="1">
      <alignment horizontal="center" vertical="center"/>
    </xf>
    <xf numFmtId="165" fontId="3" fillId="0" borderId="27" xfId="1" applyNumberFormat="1" applyFont="1" applyBorder="1" applyAlignment="1">
      <alignment horizontal="center" vertical="center"/>
    </xf>
    <xf numFmtId="165" fontId="3" fillId="0" borderId="28" xfId="1" applyNumberFormat="1" applyFont="1" applyBorder="1" applyAlignment="1">
      <alignment horizontal="center" vertical="center"/>
    </xf>
    <xf numFmtId="0" fontId="32" fillId="0" borderId="29" xfId="0" applyFont="1" applyBorder="1" applyAlignment="1">
      <alignment horizontal="center"/>
    </xf>
    <xf numFmtId="0" fontId="33" fillId="5" borderId="29" xfId="0" applyFont="1" applyFill="1" applyBorder="1" applyAlignment="1">
      <alignment horizontal="center"/>
    </xf>
    <xf numFmtId="14" fontId="15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" fontId="17" fillId="3" borderId="0" xfId="0" applyNumberFormat="1" applyFont="1" applyFill="1" applyAlignment="1">
      <alignment horizontal="center" vertical="center"/>
    </xf>
    <xf numFmtId="0" fontId="10" fillId="2" borderId="15" xfId="0" applyFont="1" applyFill="1" applyBorder="1" applyAlignment="1">
      <alignment horizontal="left" vertical="center" shrinkToFit="1"/>
    </xf>
    <xf numFmtId="0" fontId="10" fillId="2" borderId="18" xfId="0" applyFont="1" applyFill="1" applyBorder="1" applyAlignment="1">
      <alignment horizontal="left" vertical="center" shrinkToFit="1"/>
    </xf>
    <xf numFmtId="37" fontId="19" fillId="4" borderId="3" xfId="0" applyNumberFormat="1" applyFont="1" applyFill="1" applyBorder="1" applyAlignment="1">
      <alignment horizontal="center" vertical="center"/>
    </xf>
    <xf numFmtId="37" fontId="14" fillId="0" borderId="4" xfId="0" applyNumberFormat="1" applyFont="1" applyBorder="1" applyAlignment="1">
      <alignment horizontal="left" vertical="center"/>
    </xf>
    <xf numFmtId="37" fontId="14" fillId="0" borderId="10" xfId="0" applyNumberFormat="1" applyFont="1" applyBorder="1" applyAlignment="1">
      <alignment horizontal="left" vertical="center"/>
    </xf>
    <xf numFmtId="37" fontId="14" fillId="3" borderId="7" xfId="0" applyNumberFormat="1" applyFont="1" applyFill="1" applyBorder="1" applyAlignment="1">
      <alignment horizontal="left" vertical="center"/>
    </xf>
    <xf numFmtId="37" fontId="14" fillId="3" borderId="11" xfId="0" applyNumberFormat="1" applyFont="1" applyFill="1" applyBorder="1" applyAlignment="1">
      <alignment horizontal="left" vertical="center"/>
    </xf>
    <xf numFmtId="37" fontId="14" fillId="0" borderId="15" xfId="0" applyNumberFormat="1" applyFont="1" applyBorder="1" applyAlignment="1">
      <alignment horizontal="left" vertical="center"/>
    </xf>
    <xf numFmtId="37" fontId="14" fillId="0" borderId="18" xfId="0" applyNumberFormat="1" applyFont="1" applyBorder="1" applyAlignment="1">
      <alignment horizontal="left" vertical="center"/>
    </xf>
    <xf numFmtId="0" fontId="22" fillId="4" borderId="12" xfId="0" quotePrefix="1" applyFont="1" applyFill="1" applyBorder="1" applyAlignment="1" applyProtection="1">
      <alignment horizontal="center" vertical="center"/>
      <protection locked="0"/>
    </xf>
    <xf numFmtId="0" fontId="22" fillId="4" borderId="13" xfId="0" quotePrefix="1" applyFont="1" applyFill="1" applyBorder="1" applyAlignment="1" applyProtection="1">
      <alignment horizontal="center" vertical="center"/>
      <protection locked="0"/>
    </xf>
    <xf numFmtId="0" fontId="22" fillId="4" borderId="19" xfId="0" quotePrefix="1" applyFont="1" applyFill="1" applyBorder="1" applyAlignment="1" applyProtection="1">
      <alignment horizontal="center" vertical="center"/>
      <protection locked="0"/>
    </xf>
    <xf numFmtId="0" fontId="22" fillId="4" borderId="20" xfId="0" quotePrefix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>
      <alignment horizontal="left" vertical="center" shrinkToFit="1"/>
    </xf>
    <xf numFmtId="0" fontId="9" fillId="2" borderId="11" xfId="0" applyFont="1" applyFill="1" applyBorder="1" applyAlignment="1">
      <alignment horizontal="left" vertical="center" shrinkToFit="1"/>
    </xf>
    <xf numFmtId="0" fontId="9" fillId="3" borderId="7" xfId="0" applyFont="1" applyFill="1" applyBorder="1" applyAlignment="1">
      <alignment horizontal="left" vertical="center" shrinkToFit="1"/>
    </xf>
    <xf numFmtId="0" fontId="9" fillId="3" borderId="11" xfId="0" applyFont="1" applyFill="1" applyBorder="1" applyAlignment="1">
      <alignment horizontal="left" vertical="center" shrinkToFit="1"/>
    </xf>
    <xf numFmtId="0" fontId="8" fillId="2" borderId="7" xfId="0" applyFont="1" applyFill="1" applyBorder="1" applyAlignment="1">
      <alignment horizontal="left" vertical="center" shrinkToFit="1"/>
    </xf>
    <xf numFmtId="0" fontId="8" fillId="2" borderId="11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11" xfId="0" applyFont="1" applyFill="1" applyBorder="1" applyAlignment="1">
      <alignment horizontal="left" vertical="center" shrinkToFit="1"/>
    </xf>
    <xf numFmtId="0" fontId="10" fillId="2" borderId="7" xfId="0" applyFont="1" applyFill="1" applyBorder="1" applyAlignment="1">
      <alignment horizontal="left" vertical="center" shrinkToFit="1"/>
    </xf>
    <xf numFmtId="0" fontId="10" fillId="2" borderId="11" xfId="0" applyFont="1" applyFill="1" applyBorder="1" applyAlignment="1">
      <alignment horizontal="left" vertical="center" shrinkToFit="1"/>
    </xf>
    <xf numFmtId="0" fontId="10" fillId="3" borderId="7" xfId="0" applyFont="1" applyFill="1" applyBorder="1" applyAlignment="1">
      <alignment horizontal="left" vertical="center" shrinkToFit="1"/>
    </xf>
    <xf numFmtId="0" fontId="10" fillId="3" borderId="11" xfId="0" applyFont="1" applyFill="1" applyBorder="1" applyAlignment="1">
      <alignment horizontal="left" vertical="center" shrinkToFit="1"/>
    </xf>
    <xf numFmtId="0" fontId="5" fillId="0" borderId="7" xfId="0" quotePrefix="1" applyFont="1" applyBorder="1" applyAlignment="1">
      <alignment horizontal="left" vertical="center"/>
    </xf>
    <xf numFmtId="0" fontId="5" fillId="0" borderId="11" xfId="0" quotePrefix="1" applyFont="1" applyBorder="1" applyAlignment="1">
      <alignment horizontal="left" vertical="center"/>
    </xf>
    <xf numFmtId="0" fontId="5" fillId="3" borderId="7" xfId="0" quotePrefix="1" applyFont="1" applyFill="1" applyBorder="1" applyAlignment="1">
      <alignment horizontal="left" vertical="center"/>
    </xf>
    <xf numFmtId="0" fontId="5" fillId="3" borderId="11" xfId="0" quotePrefix="1" applyFont="1" applyFill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8" xfId="0" quotePrefix="1" applyFont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shrinkToFit="1"/>
    </xf>
    <xf numFmtId="0" fontId="10" fillId="2" borderId="10" xfId="0" applyFont="1" applyFill="1" applyBorder="1" applyAlignment="1">
      <alignment horizontal="left" vertical="center" shrinkToFit="1"/>
    </xf>
    <xf numFmtId="0" fontId="8" fillId="3" borderId="15" xfId="0" applyFont="1" applyFill="1" applyBorder="1" applyAlignment="1">
      <alignment horizontal="left" vertical="center" shrinkToFit="1"/>
    </xf>
    <xf numFmtId="0" fontId="8" fillId="3" borderId="18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9" fillId="2" borderId="7" xfId="0" applyFont="1" applyFill="1" applyBorder="1" applyAlignment="1">
      <alignment horizontal="left" vertical="center" shrinkToFit="1"/>
    </xf>
    <xf numFmtId="0" fontId="29" fillId="2" borderId="11" xfId="0" applyFont="1" applyFill="1" applyBorder="1" applyAlignment="1">
      <alignment horizontal="left" vertical="center" shrinkToFit="1"/>
    </xf>
    <xf numFmtId="0" fontId="28" fillId="3" borderId="7" xfId="0" applyFont="1" applyFill="1" applyBorder="1" applyAlignment="1">
      <alignment horizontal="left" vertical="center" shrinkToFit="1"/>
    </xf>
    <xf numFmtId="0" fontId="28" fillId="3" borderId="11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 shrinkToFit="1"/>
    </xf>
    <xf numFmtId="0" fontId="7" fillId="3" borderId="7" xfId="0" applyFont="1" applyFill="1" applyBorder="1" applyAlignment="1">
      <alignment horizontal="left" vertical="center" shrinkToFit="1"/>
    </xf>
    <xf numFmtId="0" fontId="7" fillId="3" borderId="11" xfId="0" applyFont="1" applyFill="1" applyBorder="1" applyAlignment="1">
      <alignment horizontal="left" vertical="center" shrinkToFit="1"/>
    </xf>
    <xf numFmtId="0" fontId="28" fillId="2" borderId="15" xfId="0" applyFont="1" applyFill="1" applyBorder="1" applyAlignment="1">
      <alignment horizontal="left" vertical="center" shrinkToFit="1"/>
    </xf>
    <xf numFmtId="0" fontId="28" fillId="2" borderId="18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28" fillId="2" borderId="7" xfId="0" applyFont="1" applyFill="1" applyBorder="1" applyAlignment="1">
      <alignment horizontal="left" vertical="center" shrinkToFit="1"/>
    </xf>
    <xf numFmtId="0" fontId="28" fillId="2" borderId="11" xfId="0" applyFont="1" applyFill="1" applyBorder="1" applyAlignment="1">
      <alignment horizontal="left" vertical="center" shrinkToFit="1"/>
    </xf>
    <xf numFmtId="0" fontId="29" fillId="3" borderId="7" xfId="0" applyFont="1" applyFill="1" applyBorder="1" applyAlignment="1">
      <alignment horizontal="left" vertical="center" shrinkToFit="1"/>
    </xf>
    <xf numFmtId="0" fontId="29" fillId="3" borderId="11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wrapText="1" shrinkToFit="1"/>
    </xf>
    <xf numFmtId="0" fontId="7" fillId="2" borderId="11" xfId="0" applyFont="1" applyFill="1" applyBorder="1" applyAlignment="1">
      <alignment horizontal="left" vertical="center" wrapText="1" shrinkToFit="1"/>
    </xf>
    <xf numFmtId="0" fontId="7" fillId="3" borderId="7" xfId="0" applyFont="1" applyFill="1" applyBorder="1" applyAlignment="1">
      <alignment horizontal="left" vertical="center" wrapText="1" shrinkToFit="1"/>
    </xf>
    <xf numFmtId="0" fontId="7" fillId="3" borderId="11" xfId="0" applyFont="1" applyFill="1" applyBorder="1" applyAlignment="1">
      <alignment horizontal="left" vertical="center" wrapText="1" shrinkToFit="1"/>
    </xf>
    <xf numFmtId="0" fontId="30" fillId="2" borderId="7" xfId="0" applyFont="1" applyFill="1" applyBorder="1" applyAlignment="1">
      <alignment horizontal="left" vertical="center" shrinkToFit="1"/>
    </xf>
    <xf numFmtId="0" fontId="30" fillId="3" borderId="7" xfId="0" applyFont="1" applyFill="1" applyBorder="1" applyAlignment="1">
      <alignment horizontal="left" vertical="center" shrinkToFit="1"/>
    </xf>
    <xf numFmtId="0" fontId="14" fillId="3" borderId="7" xfId="0" applyFont="1" applyFill="1" applyBorder="1" applyAlignment="1">
      <alignment horizontal="left" vertical="center" wrapText="1" shrinkToFit="1"/>
    </xf>
    <xf numFmtId="0" fontId="14" fillId="2" borderId="4" xfId="0" applyFont="1" applyFill="1" applyBorder="1" applyAlignment="1">
      <alignment horizontal="left" vertical="center" shrinkToFit="1"/>
    </xf>
    <xf numFmtId="0" fontId="4" fillId="2" borderId="10" xfId="0" applyFont="1" applyFill="1" applyBorder="1" applyAlignment="1">
      <alignment horizontal="left" vertical="center" shrinkToFit="1"/>
    </xf>
    <xf numFmtId="0" fontId="30" fillId="3" borderId="7" xfId="0" applyFont="1" applyFill="1" applyBorder="1" applyAlignment="1">
      <alignment horizontal="left" vertical="center" indent="1" shrinkToFit="1"/>
    </xf>
    <xf numFmtId="0" fontId="28" fillId="3" borderId="11" xfId="0" applyFont="1" applyFill="1" applyBorder="1" applyAlignment="1">
      <alignment horizontal="left" vertical="center" indent="1" shrinkToFit="1"/>
    </xf>
    <xf numFmtId="0" fontId="31" fillId="2" borderId="7" xfId="0" applyFont="1" applyFill="1" applyBorder="1" applyAlignment="1">
      <alignment horizontal="left" vertical="center" indent="2" shrinkToFit="1"/>
    </xf>
    <xf numFmtId="0" fontId="29" fillId="2" borderId="11" xfId="0" applyFont="1" applyFill="1" applyBorder="1" applyAlignment="1">
      <alignment horizontal="left" vertical="center" indent="2" shrinkToFit="1"/>
    </xf>
    <xf numFmtId="0" fontId="31" fillId="3" borderId="7" xfId="0" applyFont="1" applyFill="1" applyBorder="1" applyAlignment="1">
      <alignment horizontal="left" vertical="center" indent="2" shrinkToFit="1"/>
    </xf>
    <xf numFmtId="0" fontId="29" fillId="3" borderId="11" xfId="0" applyFont="1" applyFill="1" applyBorder="1" applyAlignment="1">
      <alignment horizontal="left" vertical="center" indent="2" shrinkToFi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6B66"/>
      <color rgb="FFDAE2DD"/>
      <color rgb="FFC59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'Base CVM'!$C$9" lockText="1" noThreeD="1"/>
</file>

<file path=xl/ctrlProps/ctrlProp2.xml><?xml version="1.0" encoding="utf-8"?>
<formControlPr xmlns="http://schemas.microsoft.com/office/spreadsheetml/2009/9/main" objectType="Radio" checked="Checked" firstButton="1" fmlaLink="'Base CVM'!$D$9" lockText="1"/>
</file>

<file path=xl/ctrlProps/ctrlProp3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8</xdr:row>
          <xdr:rowOff>76200</xdr:rowOff>
        </xdr:from>
        <xdr:to>
          <xdr:col>2</xdr:col>
          <xdr:colOff>1021080</xdr:colOff>
          <xdr:row>9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AE2DD"/>
            </a:solidFill>
            <a:ln w="9525">
              <a:solidFill>
                <a:srgbClr val="006B66"/>
              </a:solidFill>
              <a:miter lim="800000"/>
              <a:headEnd/>
              <a:tailEnd/>
            </a:ln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Sazonal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632460</xdr:colOff>
          <xdr:row>8</xdr:row>
          <xdr:rowOff>68580</xdr:rowOff>
        </xdr:from>
        <xdr:to>
          <xdr:col>1</xdr:col>
          <xdr:colOff>1584960</xdr:colOff>
          <xdr:row>9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AE2DD"/>
            </a:solidFill>
            <a:ln w="9525">
              <a:solidFill>
                <a:srgbClr val="006B66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Consolidado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1630680</xdr:colOff>
          <xdr:row>8</xdr:row>
          <xdr:rowOff>68580</xdr:rowOff>
        </xdr:from>
        <xdr:to>
          <xdr:col>2</xdr:col>
          <xdr:colOff>1905</xdr:colOff>
          <xdr:row>9</xdr:row>
          <xdr:rowOff>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AE2DD"/>
            </a:solidFill>
            <a:ln w="9525">
              <a:solidFill>
                <a:srgbClr val="006B66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Individual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0</xdr:rowOff>
    </xdr:from>
    <xdr:to>
      <xdr:col>1</xdr:col>
      <xdr:colOff>2457588</xdr:colOff>
      <xdr:row>0</xdr:row>
      <xdr:rowOff>550227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0"/>
          <a:ext cx="2491400" cy="54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26CD-42F4-4ED8-A6D4-DB5BC030D66B}">
  <sheetPr codeName="Planilha7">
    <tabColor rgb="FF006B66"/>
    <outlinePr summaryBelow="0" showOutlineSymbols="0"/>
  </sheetPr>
  <dimension ref="A1:L268"/>
  <sheetViews>
    <sheetView showGridLines="0" tabSelected="1" showOutlineSymbols="0" zoomScale="80" zoomScaleNormal="80" workbookViewId="0">
      <pane ySplit="10" topLeftCell="A11" activePane="bottomLeft" state="frozen"/>
      <selection pane="bottomLeft" activeCell="F7" sqref="F7"/>
    </sheetView>
  </sheetViews>
  <sheetFormatPr defaultColWidth="9.28515625" defaultRowHeight="13.9" outlineLevelRow="7"/>
  <cols>
    <col min="1" max="1" width="2.28515625" style="2" bestFit="1" customWidth="1"/>
    <col min="2" max="2" width="38.5703125" style="2" customWidth="1"/>
    <col min="3" max="3" width="31.85546875" style="2" customWidth="1"/>
    <col min="4" max="6" width="33.28515625" style="2" customWidth="1"/>
    <col min="7" max="16384" width="9.28515625" style="2"/>
  </cols>
  <sheetData>
    <row r="1" spans="1:12" ht="45" customHeight="1">
      <c r="B1" s="57">
        <v>1</v>
      </c>
      <c r="C1" s="69" t="s">
        <v>0</v>
      </c>
      <c r="D1" s="69"/>
      <c r="E1" s="69"/>
      <c r="F1" s="69"/>
    </row>
    <row r="2" spans="1:12" ht="12" customHeight="1">
      <c r="B2" s="58" t="b">
        <v>0</v>
      </c>
      <c r="C2" s="5"/>
    </row>
    <row r="3" spans="1:12" ht="14.1" customHeight="1">
      <c r="B3" s="47" t="s">
        <v>1</v>
      </c>
      <c r="C3" s="67" cm="1">
        <f t="array" ref="C3">IF($C$4="",_xll.ECONOMATICA($C$5,"Fin Statm Date",,"Latest"),$C$4)</f>
        <v>44561</v>
      </c>
      <c r="D3" s="44" t="s">
        <v>2</v>
      </c>
      <c r="J3" s="44"/>
    </row>
    <row r="4" spans="1:12" ht="14.1" customHeight="1" outlineLevel="1">
      <c r="B4" s="48" t="s">
        <v>3</v>
      </c>
      <c r="C4" s="55"/>
      <c r="D4" s="44" t="s">
        <v>4</v>
      </c>
      <c r="J4" s="44"/>
    </row>
    <row r="5" spans="1:12" ht="14.1" customHeight="1" outlineLevel="1">
      <c r="B5" s="49" t="s">
        <v>5</v>
      </c>
      <c r="C5" s="56" t="s">
        <v>6</v>
      </c>
      <c r="D5" s="45" t="s">
        <v>7</v>
      </c>
      <c r="J5" s="44"/>
    </row>
    <row r="6" spans="1:12" ht="14.1" customHeight="1">
      <c r="B6" s="49" t="s">
        <v>8</v>
      </c>
      <c r="C6" s="52" t="str">
        <f>_xll.ECONOMATICA($C$5,"NAME")</f>
        <v>Petrobras</v>
      </c>
      <c r="D6" s="44" t="s">
        <v>2</v>
      </c>
      <c r="J6" s="44"/>
    </row>
    <row r="7" spans="1:12" ht="12.75" customHeight="1">
      <c r="B7" s="50" t="s">
        <v>9</v>
      </c>
      <c r="C7" s="54" t="s">
        <v>10</v>
      </c>
      <c r="D7" s="45" t="s">
        <v>11</v>
      </c>
      <c r="J7" s="45"/>
    </row>
    <row r="8" spans="1:12" ht="15.6">
      <c r="B8" s="50" t="s">
        <v>12</v>
      </c>
      <c r="C8" s="53" t="str">
        <f>IF($D$9=1,"Consolidado","Individual")</f>
        <v>Consolidado</v>
      </c>
      <c r="D8" s="44" t="s">
        <v>2</v>
      </c>
      <c r="F8" s="46"/>
      <c r="J8" s="44"/>
    </row>
    <row r="9" spans="1:12" ht="20.25" customHeight="1">
      <c r="A9" s="57">
        <v>1</v>
      </c>
      <c r="B9" s="51" t="s">
        <v>13</v>
      </c>
      <c r="C9" s="59" t="b">
        <v>0</v>
      </c>
      <c r="D9" s="68">
        <v>1</v>
      </c>
    </row>
    <row r="10" spans="1:12">
      <c r="B10" s="1"/>
    </row>
    <row r="11" spans="1:12" ht="15" customHeight="1" thickBot="1">
      <c r="B11" s="72" t="s">
        <v>14</v>
      </c>
      <c r="C11" s="72"/>
      <c r="D11" s="72"/>
      <c r="E11" s="72"/>
      <c r="F11" s="72"/>
    </row>
    <row r="12" spans="1:12" ht="15" customHeight="1" thickTop="1">
      <c r="B12" s="73" t="s">
        <v>15</v>
      </c>
      <c r="C12" s="74"/>
      <c r="D12" s="60" t="str">
        <f>HYPERLINK(_xll.ECONOMATICA($C$5,"LinkFENotes",,D16),"Notas Explicativas")</f>
        <v>Notas Explicativas</v>
      </c>
      <c r="E12" s="22" t="str">
        <f>HYPERLINK(_xll.ECONOMATICA($C$5,"LinkFENotes",,E16),"Notas Explicativas")</f>
        <v>Notas Explicativas</v>
      </c>
      <c r="F12" s="23" t="str">
        <f>HYPERLINK(_xll.ECONOMATICA($C$5,"LinkFENotes",,F16),"Notas Explicativas")</f>
        <v>Notas Explicativas</v>
      </c>
    </row>
    <row r="13" spans="1:12" ht="15" customHeight="1">
      <c r="B13" s="75" t="s">
        <v>16</v>
      </c>
      <c r="C13" s="76"/>
      <c r="D13" s="24" t="str">
        <f>_xll.ECONOMATICA($C$5,"Consol",,D16)</f>
        <v>Sim</v>
      </c>
      <c r="E13" s="25" t="str">
        <f>_xll.ECONOMATICA($C$5,"Consol",,E16)</f>
        <v>Sim</v>
      </c>
      <c r="F13" s="26" t="str">
        <f>_xll.ECONOMATICA($C$5,"Consol",,F16)</f>
        <v>Sim</v>
      </c>
    </row>
    <row r="14" spans="1:12" ht="15" customHeight="1" thickBot="1">
      <c r="B14" s="77" t="s">
        <v>17</v>
      </c>
      <c r="C14" s="78"/>
      <c r="D14" s="30" t="str">
        <f>_xll.ECONOMATICA($C$5,"AccMet",,D16)</f>
        <v>IFRS</v>
      </c>
      <c r="E14" s="31" t="str">
        <f>_xll.ECONOMATICA($C$5,"AccMet",,E16)</f>
        <v>IFRS</v>
      </c>
      <c r="F14" s="32" t="str">
        <f>_xll.ECONOMATICA($C$5,"AccMet",,F16)</f>
        <v>IFRS</v>
      </c>
      <c r="L14" s="10"/>
    </row>
    <row r="15" spans="1:12" ht="16.149999999999999" customHeight="1" thickTop="1">
      <c r="B15" s="4"/>
      <c r="C15" s="4"/>
      <c r="D15" s="5"/>
      <c r="F15" s="7"/>
    </row>
    <row r="16" spans="1:12" s="8" customFormat="1" ht="15" customHeight="1" thickBot="1">
      <c r="B16" s="79" t="s">
        <v>18</v>
      </c>
      <c r="C16" s="80"/>
      <c r="D16" s="11">
        <f>IF($C$9=TRUE,EOMONTH(E16,-12),DATE(YEAR(F16)-2,12,31))</f>
        <v>43830</v>
      </c>
      <c r="E16" s="11">
        <f>IF($C$9=TRUE,EOMONTH(F16,-12),DATE(YEAR(F16)-1,12,31))</f>
        <v>44196</v>
      </c>
      <c r="F16" s="12">
        <f>$C$3</f>
        <v>44561</v>
      </c>
      <c r="G16" s="44"/>
    </row>
    <row r="17" spans="2:6" ht="15" customHeight="1" outlineLevel="7" thickTop="1">
      <c r="B17" s="130" t="s">
        <v>19</v>
      </c>
      <c r="C17" s="131"/>
      <c r="D17" s="61">
        <f>IFERROR(_xll.ECONOMATICA($C$5,"Total Assets",,D$16,,,,$C$7,,,,IF($D$9=1,{"jtb.opcconscontr=2"},{"jtb.opcconscontr=3"})),"-")</f>
        <v>926011000</v>
      </c>
      <c r="E17" s="13">
        <f>IFERROR(_xll.ECONOMATICA($C$5,"Total Assets",,E$16,,,,$C$7,,,,IF($D$9=1,{"jtb.opcconscontr=2"},{"jtb.opcconscontr=3"})),"-")</f>
        <v>987419000</v>
      </c>
      <c r="F17" s="14">
        <f>IFERROR(_xll.ECONOMATICA($C$5,"Total Assets",,F$16,,,,$C$7,,,,IF($D$9=1,{"jtb.opcconscontr=2"},{"jtb.opcconscontr=3"})),"-")</f>
        <v>972951000</v>
      </c>
    </row>
    <row r="18" spans="2:6" ht="15" customHeight="1" outlineLevel="7">
      <c r="B18" s="132" t="s">
        <v>20</v>
      </c>
      <c r="C18" s="133"/>
      <c r="D18" s="62">
        <f>IFERROR(_xll.ECONOMATICA($C$5,"Curr Assets",,D$16,,,,$C$7,,,,IF($D$9=1,{"jtb.opcconscontr=2"},{"jtb.opcconscontr=3"})),"-")</f>
        <v>112101000</v>
      </c>
      <c r="E18" s="28">
        <f>IFERROR(_xll.ECONOMATICA($C$5,"Curr Assets",,E$16,,,,$C$7,,,,IF($D$9=1,{"jtb.opcconscontr=2"},{"jtb.opcconscontr=3"})),"-")</f>
        <v>142323000</v>
      </c>
      <c r="F18" s="29">
        <f>IFERROR(_xll.ECONOMATICA($C$5,"Curr Assets",,F$16,,,,$C$7,,,,IF($D$9=1,{"jtb.opcconscontr=2"},{"jtb.opcconscontr=3"})),"-")</f>
        <v>168247000</v>
      </c>
    </row>
    <row r="19" spans="2:6" ht="15" customHeight="1" outlineLevel="7">
      <c r="B19" s="134" t="s">
        <v>21</v>
      </c>
      <c r="C19" s="135"/>
      <c r="D19" s="63">
        <f>IFERROR(_xll.ECONOMATICA($C$5,"Cash&amp;EqCa",,D$16,,,,$C$7,,,,IF($D$9=1,{"jtb.opcconscontr=2"},{"jtb.opcconscontr=3"})),"-")</f>
        <v>29714000</v>
      </c>
      <c r="E19" s="15">
        <f>IFERROR(_xll.ECONOMATICA($C$5,"Cash&amp;EqCa",,E$16,,,,$C$7,,,,IF($D$9=1,{"jtb.opcconscontr=2"},{"jtb.opcconscontr=3"})),"-")</f>
        <v>60856000</v>
      </c>
      <c r="F19" s="16">
        <f>IFERROR(_xll.ECONOMATICA($C$5,"Cash&amp;EqCa",,F$16,,,,$C$7,,,,IF($D$9=1,{"jtb.opcconscontr=2"},{"jtb.opcconscontr=3"})),"-")</f>
        <v>58410000</v>
      </c>
    </row>
    <row r="20" spans="2:6" ht="15" customHeight="1" outlineLevel="7">
      <c r="B20" s="136" t="s">
        <v>22</v>
      </c>
      <c r="C20" s="137"/>
      <c r="D20" s="62">
        <f>IFERROR(_xll.ECONOMATICA($C$5,"Investmen",,D$16,,,,$C$7,,,,IF($D$9=1,{"jtb.opcconscontr=2"},{"jtb.opcconscontr=3"})),"-")</f>
        <v>3580000</v>
      </c>
      <c r="E20" s="28">
        <f>IFERROR(_xll.ECONOMATICA($C$5,"Investmen",,E$16,,,,$C$7,,,,IF($D$9=1,{"jtb.opcconscontr=2"},{"jtb.opcconscontr=3"})),"-")</f>
        <v>3424000</v>
      </c>
      <c r="F20" s="29">
        <f>IFERROR(_xll.ECONOMATICA($C$5,"Investmen",,F$16,,,,$C$7,,,,IF($D$9=1,{"jtb.opcconscontr=2"},{"jtb.opcconscontr=3"})),"-")</f>
        <v>3630000</v>
      </c>
    </row>
    <row r="21" spans="2:6" ht="15" customHeight="1" outlineLevel="7">
      <c r="B21" s="127" t="s">
        <v>23</v>
      </c>
      <c r="C21" s="120"/>
      <c r="D21" s="63" t="str">
        <f>IFERROR(_xll.ECONOMATICA($C$5,"FiAsFaVaST",,D$16,,,,$C$7,,,,IF($D$9=1,{"jtb.opcconscontr=2"},{"jtb.opcconscontr=3"})),"-")</f>
        <v>-</v>
      </c>
      <c r="E21" s="15" t="str">
        <f>IFERROR(_xll.ECONOMATICA($C$5,"FiAsFaVaST",,E$16,,,,$C$7,,,,IF($D$9=1,{"jtb.opcconscontr=2"},{"jtb.opcconscontr=3"})),"-")</f>
        <v>-</v>
      </c>
      <c r="F21" s="16" t="str">
        <f>IFERROR(_xll.ECONOMATICA($C$5,"FiAsFaVaST",,F$16,,,,$C$7,,,,IF($D$9=1,{"jtb.opcconscontr=2"},{"jtb.opcconscontr=3"})),"-")</f>
        <v>-</v>
      </c>
    </row>
    <row r="22" spans="2:6" outlineLevel="7">
      <c r="B22" s="129" t="s">
        <v>24</v>
      </c>
      <c r="C22" s="126"/>
      <c r="D22" s="62" t="str">
        <f>IFERROR(_xll.ECONOMATICA($C$5,"FiAstFVThProLosST",,D$16,,,,$C$7,,,,IF($D$9=1,{"jtb.opcconscontr=2"},{"jtb.opcconscontr=3"})),"-")</f>
        <v>-</v>
      </c>
      <c r="E22" s="28" t="str">
        <f>IFERROR(_xll.ECONOMATICA($C$5,"FiAstFVThProLosST",,E$16,,,,$C$7,,,,IF($D$9=1,{"jtb.opcconscontr=2"},{"jtb.opcconscontr=3"})),"-")</f>
        <v>-</v>
      </c>
      <c r="F22" s="29" t="str">
        <f>IFERROR(_xll.ECONOMATICA($C$5,"FiAstFVThProLosST",,F$16,,,,$C$7,,,,IF($D$9=1,{"jtb.opcconscontr=2"},{"jtb.opcconscontr=3"})),"-")</f>
        <v>-</v>
      </c>
    </row>
    <row r="23" spans="2:6" ht="15" customHeight="1" outlineLevel="7">
      <c r="B23" s="127" t="s">
        <v>25</v>
      </c>
      <c r="C23" s="120"/>
      <c r="D23" s="63" t="str">
        <f>IFERROR(_xll.ECONOMATICA($C$5,"FinAstForTradST",,D$16,,,,$C$7,,,,IF($D$9=1,{"jtb.opcconscontr=2"},{"jtb.opcconscontr=3"})),"-")</f>
        <v>-</v>
      </c>
      <c r="E23" s="15" t="str">
        <f>IFERROR(_xll.ECONOMATICA($C$5,"FinAstForTradST",,E$16,,,,$C$7,,,,IF($D$9=1,{"jtb.opcconscontr=2"},{"jtb.opcconscontr=3"})),"-")</f>
        <v>-</v>
      </c>
      <c r="F23" s="16" t="str">
        <f>IFERROR(_xll.ECONOMATICA($C$5,"FinAstForTradST",,F$16,,,,$C$7,,,,IF($D$9=1,{"jtb.opcconscontr=2"},{"jtb.opcconscontr=3"})),"-")</f>
        <v>-</v>
      </c>
    </row>
    <row r="24" spans="2:6" ht="15" customHeight="1" outlineLevel="7">
      <c r="B24" s="128" t="s">
        <v>26</v>
      </c>
      <c r="C24" s="110"/>
      <c r="D24" s="62" t="str">
        <f>IFERROR(_xll.ECONOMATICA($C$5,"FinAstFaValST",,D$16,,,,$C$7,,,,IF($D$9=1,{"jtb.opcconscontr=2"},{"jtb.opcconscontr=3"})),"-")</f>
        <v>-</v>
      </c>
      <c r="E24" s="28" t="str">
        <f>IFERROR(_xll.ECONOMATICA($C$5,"FinAstFaValST",,E$16,,,,$C$7,,,,IF($D$9=1,{"jtb.opcconscontr=2"},{"jtb.opcconscontr=3"})),"-")</f>
        <v>-</v>
      </c>
      <c r="F24" s="29" t="str">
        <f>IFERROR(_xll.ECONOMATICA($C$5,"FinAstFaValST",,F$16,,,,$C$7,,,,IF($D$9=1,{"jtb.opcconscontr=2"},{"jtb.opcconscontr=3"})),"-")</f>
        <v>-</v>
      </c>
    </row>
    <row r="25" spans="2:6" ht="15" customHeight="1" outlineLevel="7">
      <c r="B25" s="127" t="s">
        <v>27</v>
      </c>
      <c r="C25" s="120"/>
      <c r="D25" s="63" t="str">
        <f>IFERROR(_xll.ECONOMATICA($C$5,"OthFinAstPrLoST",,D$16,,,,$C$7,,,,IF($D$9=1,{"jtb.opcconscontr=2"},{"jtb.opcconscontr=3"})),"-")</f>
        <v>-</v>
      </c>
      <c r="E25" s="15" t="str">
        <f>IFERROR(_xll.ECONOMATICA($C$5,"OthFinAstPrLoST",,E$16,,,,$C$7,,,,IF($D$9=1,{"jtb.opcconscontr=2"},{"jtb.opcconscontr=3"})),"-")</f>
        <v>-</v>
      </c>
      <c r="F25" s="16" t="str">
        <f>IFERROR(_xll.ECONOMATICA($C$5,"OthFinAstPrLoST",,F$16,,,,$C$7,,,,IF($D$9=1,{"jtb.opcconscontr=2"},{"jtb.opcconscontr=3"})),"-")</f>
        <v>-</v>
      </c>
    </row>
    <row r="26" spans="2:6" outlineLevel="7">
      <c r="B26" s="129" t="s">
        <v>28</v>
      </c>
      <c r="C26" s="126"/>
      <c r="D26" s="62" t="str">
        <f>IFERROR(_xll.ECONOMATICA($C$5,"FiAstFVThOtComIncST",,D$16,,,,$C$7,,,,IF($D$9=1,{"jtb.opcconscontr=2"},{"jtb.opcconscontr=3"})),"-")</f>
        <v>-</v>
      </c>
      <c r="E26" s="28" t="str">
        <f>IFERROR(_xll.ECONOMATICA($C$5,"FiAstFVThOtComIncST",,E$16,,,,$C$7,,,,IF($D$9=1,{"jtb.opcconscontr=2"},{"jtb.opcconscontr=3"})),"-")</f>
        <v>-</v>
      </c>
      <c r="F26" s="29" t="str">
        <f>IFERROR(_xll.ECONOMATICA($C$5,"FiAstFVThOtComIncST",,F$16,,,,$C$7,,,,IF($D$9=1,{"jtb.opcconscontr=2"},{"jtb.opcconscontr=3"})),"-")</f>
        <v>-</v>
      </c>
    </row>
    <row r="27" spans="2:6" ht="15" customHeight="1" outlineLevel="7">
      <c r="B27" s="127" t="s">
        <v>29</v>
      </c>
      <c r="C27" s="120"/>
      <c r="D27" s="63" t="str">
        <f>IFERROR(_xll.ECONOMATICA($C$5,"AFAvCAmCP",,D$16,,,,$C$7,,,,IF($D$9=1,{"jtb.opcconscontr=2"},{"jtb.opcconscontr=3"})),"-")</f>
        <v>-</v>
      </c>
      <c r="E27" s="15" t="str">
        <f>IFERROR(_xll.ECONOMATICA($C$5,"AFAvCAmCP",,E$16,,,,$C$7,,,,IF($D$9=1,{"jtb.opcconscontr=2"},{"jtb.opcconscontr=3"})),"-")</f>
        <v>-</v>
      </c>
      <c r="F27" s="16" t="str">
        <f>IFERROR(_xll.ECONOMATICA($C$5,"AFAvCAmCP",,F$16,,,,$C$7,,,,IF($D$9=1,{"jtb.opcconscontr=2"},{"jtb.opcconscontr=3"})),"-")</f>
        <v>-</v>
      </c>
    </row>
    <row r="28" spans="2:6" ht="15" customHeight="1" outlineLevel="7">
      <c r="B28" s="121" t="s">
        <v>30</v>
      </c>
      <c r="C28" s="122"/>
      <c r="D28" s="62">
        <f>IFERROR(_xll.ECONOMATICA($C$5,"AccRecST",,D$16,,,,$C$7,,,,IF($D$9=1,{"jtb.opcconscontr=2"},{"jtb.opcconscontr=3"})),"-")</f>
        <v>15164000</v>
      </c>
      <c r="E28" s="28">
        <f>IFERROR(_xll.ECONOMATICA($C$5,"AccRecST",,E$16,,,,$C$7,,,,IF($D$9=1,{"jtb.opcconscontr=2"},{"jtb.opcconscontr=3"})),"-")</f>
        <v>24584000</v>
      </c>
      <c r="F28" s="29">
        <f>IFERROR(_xll.ECONOMATICA($C$5,"AccRecST",,F$16,,,,$C$7,,,,IF($D$9=1,{"jtb.opcconscontr=2"},{"jtb.opcconscontr=3"})),"-")</f>
        <v>35538000</v>
      </c>
    </row>
    <row r="29" spans="2:6" ht="15" customHeight="1" outlineLevel="7">
      <c r="B29" s="119" t="s">
        <v>31</v>
      </c>
      <c r="C29" s="120"/>
      <c r="D29" s="63" t="str">
        <f>IFERROR(_xll.ECONOMATICA($C$5,"Acc Receiv Net",,D$16,,,,$C$7,,,,IF($D$9=1,{"jtb.opcconscontr=2"},{"jtb.opcconscontr=3"})),"-")</f>
        <v>-</v>
      </c>
      <c r="E29" s="15" t="str">
        <f>IFERROR(_xll.ECONOMATICA($C$5,"Acc Receiv Net",,E$16,,,,$C$7,,,,IF($D$9=1,{"jtb.opcconscontr=2"},{"jtb.opcconscontr=3"})),"-")</f>
        <v>-</v>
      </c>
      <c r="F29" s="16" t="str">
        <f>IFERROR(_xll.ECONOMATICA($C$5,"Acc Receiv Net",,F$16,,,,$C$7,,,,IF($D$9=1,{"jtb.opcconscontr=2"},{"jtb.opcconscontr=3"})),"-")</f>
        <v>-</v>
      </c>
    </row>
    <row r="30" spans="2:6" ht="15" customHeight="1" outlineLevel="7">
      <c r="B30" s="109" t="s">
        <v>32</v>
      </c>
      <c r="C30" s="110"/>
      <c r="D30" s="62" t="str">
        <f>IFERROR(_xll.ECONOMATICA($C$5,"OtAccRecST",,D$16,,,,$C$7,,,,IF($D$9=1,{"jtb.opcconscontr=2"},{"jtb.opcconscontr=3"})),"-")</f>
        <v>-</v>
      </c>
      <c r="E30" s="28" t="str">
        <f>IFERROR(_xll.ECONOMATICA($C$5,"OtAccRecST",,E$16,,,,$C$7,,,,IF($D$9=1,{"jtb.opcconscontr=2"},{"jtb.opcconscontr=3"})),"-")</f>
        <v>-</v>
      </c>
      <c r="F30" s="29" t="str">
        <f>IFERROR(_xll.ECONOMATICA($C$5,"OtAccRecST",,F$16,,,,$C$7,,,,IF($D$9=1,{"jtb.opcconscontr=2"},{"jtb.opcconscontr=3"})),"-")</f>
        <v>-</v>
      </c>
    </row>
    <row r="31" spans="2:6" ht="15" customHeight="1" outlineLevel="7">
      <c r="B31" s="107" t="s">
        <v>33</v>
      </c>
      <c r="C31" s="108"/>
      <c r="D31" s="63">
        <f>IFERROR(_xll.ECONOMATICA($C$5,"Inventories",,D$16,,,,$C$7,,,,IF($D$9=1,{"jtb.opcconscontr=2"},{"jtb.opcconscontr=3"})),"-")</f>
        <v>33009000</v>
      </c>
      <c r="E31" s="15">
        <f>IFERROR(_xll.ECONOMATICA($C$5,"Inventories",,E$16,,,,$C$7,,,,IF($D$9=1,{"jtb.opcconscontr=2"},{"jtb.opcconscontr=3"})),"-")</f>
        <v>29500000</v>
      </c>
      <c r="F31" s="16">
        <f>IFERROR(_xll.ECONOMATICA($C$5,"Inventories",,F$16,,,,$C$7,,,,IF($D$9=1,{"jtb.opcconscontr=2"},{"jtb.opcconscontr=3"})),"-")</f>
        <v>40486000</v>
      </c>
    </row>
    <row r="32" spans="2:6" ht="15" customHeight="1" outlineLevel="7">
      <c r="B32" s="121" t="s">
        <v>34</v>
      </c>
      <c r="C32" s="122"/>
      <c r="D32" s="62">
        <f>IFERROR(_xll.ECONOMATICA($C$5,"BioAstST",,D$16,,,,$C$7,,,,IF($D$9=1,{"jtb.opcconscontr=2"},{"jtb.opcconscontr=3"})),"-")</f>
        <v>0</v>
      </c>
      <c r="E32" s="28">
        <f>IFERROR(_xll.ECONOMATICA($C$5,"BioAstST",,E$16,,,,$C$7,,,,IF($D$9=1,{"jtb.opcconscontr=2"},{"jtb.opcconscontr=3"})),"-")</f>
        <v>0</v>
      </c>
      <c r="F32" s="29">
        <f>IFERROR(_xll.ECONOMATICA($C$5,"BioAstST",,F$16,,,,$C$7,,,,IF($D$9=1,{"jtb.opcconscontr=2"},{"jtb.opcconscontr=3"})),"-")</f>
        <v>0</v>
      </c>
    </row>
    <row r="33" spans="2:6" ht="15" customHeight="1" outlineLevel="7">
      <c r="B33" s="107" t="s">
        <v>35</v>
      </c>
      <c r="C33" s="108"/>
      <c r="D33" s="63">
        <f>IFERROR(_xll.ECONOMATICA($C$5,"RcTxST",,D$16,,,,$C$7,,,,IF($D$9=1,{"jtb.opcconscontr=2"},{"jtb.opcconscontr=3"})),"-")</f>
        <v>14287000</v>
      </c>
      <c r="E33" s="15">
        <f>IFERROR(_xll.ECONOMATICA($C$5,"RcTxST",,E$16,,,,$C$7,,,,IF($D$9=1,{"jtb.opcconscontr=2"},{"jtb.opcconscontr=3"})),"-")</f>
        <v>13483000</v>
      </c>
      <c r="F33" s="16">
        <f>IFERROR(_xll.ECONOMATICA($C$5,"RcTxST",,F$16,,,,$C$7,,,,IF($D$9=1,{"jtb.opcconscontr=2"},{"jtb.opcconscontr=3"})),"-")</f>
        <v>7511000</v>
      </c>
    </row>
    <row r="34" spans="2:6" ht="15" customHeight="1" outlineLevel="7">
      <c r="B34" s="109" t="s">
        <v>36</v>
      </c>
      <c r="C34" s="110"/>
      <c r="D34" s="62">
        <f>IFERROR(_xll.ECONOMATICA($C$5,"ImCoRec",,D$16,,,,$C$7,,,,IF($D$9=1,{"jtb.opcconscontr=2"},{"jtb.opcconscontr=3"})),"-")</f>
        <v>14287000</v>
      </c>
      <c r="E34" s="28">
        <f>IFERROR(_xll.ECONOMATICA($C$5,"ImCoRec",,E$16,,,,$C$7,,,,IF($D$9=1,{"jtb.opcconscontr=2"},{"jtb.opcconscontr=3"})),"-")</f>
        <v>13483000</v>
      </c>
      <c r="F34" s="29">
        <f>IFERROR(_xll.ECONOMATICA($C$5,"ImCoRec",,F$16,,,,$C$7,,,,IF($D$9=1,{"jtb.opcconscontr=2"},{"jtb.opcconscontr=3"})),"-")</f>
        <v>7511000</v>
      </c>
    </row>
    <row r="35" spans="2:6" ht="15" customHeight="1" outlineLevel="7">
      <c r="B35" s="107" t="s">
        <v>37</v>
      </c>
      <c r="C35" s="108"/>
      <c r="D35" s="63">
        <f>IFERROR(_xll.ECONOMATICA($C$5,"ST Prep Expen",,D$16,,,,$C$7,,,,IF($D$9=1,{"jtb.opcconscontr=2"},{"jtb.opcconscontr=3"})),"-")</f>
        <v>0</v>
      </c>
      <c r="E35" s="15">
        <f>IFERROR(_xll.ECONOMATICA($C$5,"ST Prep Expen",,E$16,,,,$C$7,,,,IF($D$9=1,{"jtb.opcconscontr=2"},{"jtb.opcconscontr=3"})),"-")</f>
        <v>0</v>
      </c>
      <c r="F35" s="16">
        <f>IFERROR(_xll.ECONOMATICA($C$5,"ST Prep Expen",,F$16,,,,$C$7,,,,IF($D$9=1,{"jtb.opcconscontr=2"},{"jtb.opcconscontr=3"})),"-")</f>
        <v>0</v>
      </c>
    </row>
    <row r="36" spans="2:6" ht="15" customHeight="1" outlineLevel="7">
      <c r="B36" s="121" t="s">
        <v>38</v>
      </c>
      <c r="C36" s="122"/>
      <c r="D36" s="62">
        <f>IFERROR(_xll.ECONOMATICA($C$5,"OtCurAst",,D$16,,,,$C$7,,,,IF($D$9=1,{"jtb.opcconscontr=2"},{"jtb.opcconscontr=3"})),"-")</f>
        <v>16347000</v>
      </c>
      <c r="E36" s="28">
        <f>IFERROR(_xll.ECONOMATICA($C$5,"OtCurAst",,E$16,,,,$C$7,,,,IF($D$9=1,{"jtb.opcconscontr=2"},{"jtb.opcconscontr=3"})),"-")</f>
        <v>10476000</v>
      </c>
      <c r="F36" s="29">
        <f>IFERROR(_xll.ECONOMATICA($C$5,"OtCurAst",,F$16,,,,$C$7,,,,IF($D$9=1,{"jtb.opcconscontr=2"},{"jtb.opcconscontr=3"})),"-")</f>
        <v>22672000</v>
      </c>
    </row>
    <row r="37" spans="2:6" ht="15" customHeight="1" outlineLevel="7">
      <c r="B37" s="119" t="s">
        <v>39</v>
      </c>
      <c r="C37" s="120"/>
      <c r="D37" s="63">
        <f>IFERROR(_xll.ECONOMATICA($C$5,"NCHFSAst",,D$16,,,,$C$7,,,,IF($D$9=1,{"jtb.opcconscontr=2"},{"jtb.opcconscontr=3"})),"-")</f>
        <v>10333000</v>
      </c>
      <c r="E37" s="15">
        <f>IFERROR(_xll.ECONOMATICA($C$5,"NCHFSAst",,E$16,,,,$C$7,,,,IF($D$9=1,{"jtb.opcconscontr=2"},{"jtb.opcconscontr=3"})),"-")</f>
        <v>4081000</v>
      </c>
      <c r="F37" s="16">
        <f>IFERROR(_xll.ECONOMATICA($C$5,"NCHFSAst",,F$16,,,,$C$7,,,,IF($D$9=1,{"jtb.opcconscontr=2"},{"jtb.opcconscontr=3"})),"-")</f>
        <v>13895000</v>
      </c>
    </row>
    <row r="38" spans="2:6" ht="15" customHeight="1" outlineLevel="7">
      <c r="B38" s="109" t="s">
        <v>40</v>
      </c>
      <c r="C38" s="110"/>
      <c r="D38" s="62">
        <f>IFERROR(_xll.ECONOMATICA($C$5,"DiscOpsST",,D$16,,,,$C$7,,,,IF($D$9=1,{"jtb.opcconscontr=2"},{"jtb.opcconscontr=3"})),"-")</f>
        <v>0</v>
      </c>
      <c r="E38" s="28">
        <f>IFERROR(_xll.ECONOMATICA($C$5,"DiscOpsST",,E$16,,,,$C$7,,,,IF($D$9=1,{"jtb.opcconscontr=2"},{"jtb.opcconscontr=3"})),"-")</f>
        <v>0</v>
      </c>
      <c r="F38" s="29">
        <f>IFERROR(_xll.ECONOMATICA($C$5,"DiscOpsST",,F$16,,,,$C$7,,,,IF($D$9=1,{"jtb.opcconscontr=2"},{"jtb.opcconscontr=3"})),"-")</f>
        <v>0</v>
      </c>
    </row>
    <row r="39" spans="2:6" ht="15" customHeight="1" outlineLevel="7">
      <c r="B39" s="119" t="s">
        <v>41</v>
      </c>
      <c r="C39" s="120"/>
      <c r="D39" s="63">
        <f>IFERROR(_xll.ECONOMATICA($C$5,"OtAs",,D$16,,,,$C$7,,,,IF($D$9=1,{"jtb.opcconscontr=2"},{"jtb.opcconscontr=3"})),"-")</f>
        <v>6014000</v>
      </c>
      <c r="E39" s="15">
        <f>IFERROR(_xll.ECONOMATICA($C$5,"OtAs",,E$16,,,,$C$7,,,,IF($D$9=1,{"jtb.opcconscontr=2"},{"jtb.opcconscontr=3"})),"-")</f>
        <v>6395000</v>
      </c>
      <c r="F39" s="16">
        <f>IFERROR(_xll.ECONOMATICA($C$5,"OtAs",,F$16,,,,$C$7,,,,IF($D$9=1,{"jtb.opcconscontr=2"},{"jtb.opcconscontr=3"})),"-")</f>
        <v>8777000</v>
      </c>
    </row>
    <row r="40" spans="2:6" ht="15" customHeight="1" outlineLevel="7">
      <c r="B40" s="109" t="s">
        <v>42</v>
      </c>
      <c r="C40" s="110"/>
      <c r="D40" s="62">
        <f>IFERROR(_xll.ECONOMATICA($C$5,"Non Curr Assets",,D$16,,,,$C$7,,,,IF($D$9=1,{"jtb.opcconscontr=2"},{"jtb.opcconscontr=3"})),"-")</f>
        <v>813910000</v>
      </c>
      <c r="E40" s="28">
        <f>IFERROR(_xll.ECONOMATICA($C$5,"Non Curr Assets",,E$16,,,,$C$7,,,,IF($D$9=1,{"jtb.opcconscontr=2"},{"jtb.opcconscontr=3"})),"-")</f>
        <v>845096000</v>
      </c>
      <c r="F40" s="29">
        <f>IFERROR(_xll.ECONOMATICA($C$5,"Non Curr Assets",,F$16,,,,$C$7,,,,IF($D$9=1,{"jtb.opcconscontr=2"},{"jtb.opcconscontr=3"})),"-")</f>
        <v>804704000</v>
      </c>
    </row>
    <row r="41" spans="2:6" ht="15" customHeight="1" outlineLevel="7">
      <c r="B41" s="107" t="s">
        <v>43</v>
      </c>
      <c r="C41" s="108"/>
      <c r="D41" s="63">
        <f>IFERROR(_xll.ECONOMATICA($C$5,"ltAsst",,D$16,,,,$C$7,,,,IF($D$9=1,{"jtb.opcconscontr=2"},{"jtb.opcconscontr=3"})),"-")</f>
        <v>71306000</v>
      </c>
      <c r="E41" s="15">
        <f>IFERROR(_xll.ECONOMATICA($C$5,"ltAsst",,E$16,,,,$C$7,,,,IF($D$9=1,{"jtb.opcconscontr=2"},{"jtb.opcconscontr=3"})),"-")</f>
        <v>104974000</v>
      </c>
      <c r="F41" s="16">
        <f>IFERROR(_xll.ECONOMATICA($C$5,"ltAsst",,F$16,,,,$C$7,,,,IF($D$9=1,{"jtb.opcconscontr=2"},{"jtb.opcconscontr=3"})),"-")</f>
        <v>79992000</v>
      </c>
    </row>
    <row r="42" spans="2:6" ht="15" customHeight="1" outlineLevel="7">
      <c r="B42" s="109" t="s">
        <v>44</v>
      </c>
      <c r="C42" s="110"/>
      <c r="D42" s="62">
        <f>IFERROR(_xll.ECONOMATICA($C$5,"FiAsFaVaLT",,D$16,,,,$C$7,,,,IF($D$9=1,{"jtb.opcconscontr=2"},{"jtb.opcconscontr=3"})),"-")</f>
        <v>0</v>
      </c>
      <c r="E42" s="28">
        <f>IFERROR(_xll.ECONOMATICA($C$5,"FiAsFaVaLT",,E$16,,,,$C$7,,,,IF($D$9=1,{"jtb.opcconscontr=2"},{"jtb.opcconscontr=3"})),"-")</f>
        <v>0</v>
      </c>
      <c r="F42" s="29">
        <f>IFERROR(_xll.ECONOMATICA($C$5,"FiAsFaVaLT",,F$16,,,,$C$7,,,,IF($D$9=1,{"jtb.opcconscontr=2"},{"jtb.opcconscontr=3"})),"-")</f>
        <v>0</v>
      </c>
    </row>
    <row r="43" spans="2:6" outlineLevel="7">
      <c r="B43" s="123" t="s">
        <v>45</v>
      </c>
      <c r="C43" s="124"/>
      <c r="D43" s="63">
        <f>IFERROR(_xll.ECONOMATICA($C$5,"FiAstFVThProLosLT",,D$16,,,,$C$7,,,,IF($D$9=1,{"jtb.opcconscontr=2"},{"jtb.opcconscontr=3"})),"-")</f>
        <v>0</v>
      </c>
      <c r="E43" s="15">
        <f>IFERROR(_xll.ECONOMATICA($C$5,"FiAstFVThProLosLT",,E$16,,,,$C$7,,,,IF($D$9=1,{"jtb.opcconscontr=2"},{"jtb.opcconscontr=3"})),"-")</f>
        <v>0</v>
      </c>
      <c r="F43" s="16">
        <f>IFERROR(_xll.ECONOMATICA($C$5,"FiAstFVThProLosLT",,F$16,,,,$C$7,,,,IF($D$9=1,{"jtb.opcconscontr=2"},{"jtb.opcconscontr=3"})),"-")</f>
        <v>0</v>
      </c>
    </row>
    <row r="44" spans="2:6" ht="15" customHeight="1" outlineLevel="7">
      <c r="B44" s="109" t="s">
        <v>46</v>
      </c>
      <c r="C44" s="110"/>
      <c r="D44" s="62">
        <f>IFERROR(_xll.ECONOMATICA($C$5,"FinAstFaVaLT",,D$16,,,,$C$7,,,,IF($D$9=1,{"jtb.opcconscontr=2"},{"jtb.opcconscontr=3"})),"-")</f>
        <v>0</v>
      </c>
      <c r="E44" s="28">
        <f>IFERROR(_xll.ECONOMATICA($C$5,"FinAstFaVaLT",,E$16,,,,$C$7,,,,IF($D$9=1,{"jtb.opcconscontr=2"},{"jtb.opcconscontr=3"})),"-")</f>
        <v>0</v>
      </c>
      <c r="F44" s="29">
        <f>IFERROR(_xll.ECONOMATICA($C$5,"FinAstFaVaLT",,F$16,,,,$C$7,,,,IF($D$9=1,{"jtb.opcconscontr=2"},{"jtb.opcconscontr=3"})),"-")</f>
        <v>0</v>
      </c>
    </row>
    <row r="45" spans="2:6" ht="15" customHeight="1" outlineLevel="7">
      <c r="B45" s="119" t="s">
        <v>47</v>
      </c>
      <c r="C45" s="120"/>
      <c r="D45" s="63">
        <f>IFERROR(_xll.ECONOMATICA($C$5,"OthFinAstPrLoLT",,D$16,,,,$C$7,,,,IF($D$9=1,{"jtb.opcconscontr=2"},{"jtb.opcconscontr=3"})),"-")</f>
        <v>0</v>
      </c>
      <c r="E45" s="15">
        <f>IFERROR(_xll.ECONOMATICA($C$5,"OthFinAstPrLoLT",,E$16,,,,$C$7,,,,IF($D$9=1,{"jtb.opcconscontr=2"},{"jtb.opcconscontr=3"})),"-")</f>
        <v>0</v>
      </c>
      <c r="F45" s="16">
        <f>IFERROR(_xll.ECONOMATICA($C$5,"OthFinAstPrLoLT",,F$16,,,,$C$7,,,,IF($D$9=1,{"jtb.opcconscontr=2"},{"jtb.opcconscontr=3"})),"-")</f>
        <v>0</v>
      </c>
    </row>
    <row r="46" spans="2:6" outlineLevel="7">
      <c r="B46" s="125" t="s">
        <v>48</v>
      </c>
      <c r="C46" s="126"/>
      <c r="D46" s="62">
        <f>IFERROR(_xll.ECONOMATICA($C$5,"FiAstFVThOtComIncLT",,D$16,,,,$C$7,,,,IF($D$9=1,{"jtb.opcconscontr=2"},{"jtb.opcconscontr=3"})),"-")</f>
        <v>0</v>
      </c>
      <c r="E46" s="28">
        <f>IFERROR(_xll.ECONOMATICA($C$5,"FiAstFVThOtComIncLT",,E$16,,,,$C$7,,,,IF($D$9=1,{"jtb.opcconscontr=2"},{"jtb.opcconscontr=3"})),"-")</f>
        <v>0</v>
      </c>
      <c r="F46" s="29">
        <f>IFERROR(_xll.ECONOMATICA($C$5,"FiAstFVThOtComIncLT",,F$16,,,,$C$7,,,,IF($D$9=1,{"jtb.opcconscontr=2"},{"jtb.opcconscontr=3"})),"-")</f>
        <v>0</v>
      </c>
    </row>
    <row r="47" spans="2:6" ht="15" customHeight="1" outlineLevel="7">
      <c r="B47" s="119" t="s">
        <v>49</v>
      </c>
      <c r="C47" s="120"/>
      <c r="D47" s="63">
        <f>IFERROR(_xll.ECONOMATICA($C$5,"AFAvCAmLP",,D$16,,,,$C$7,,,,IF($D$9=1,{"jtb.opcconscontr=2"},{"jtb.opcconscontr=3"})),"-")</f>
        <v>232000</v>
      </c>
      <c r="E47" s="15">
        <f>IFERROR(_xll.ECONOMATICA($C$5,"AFAvCAmLP",,E$16,,,,$C$7,,,,IF($D$9=1,{"jtb.opcconscontr=2"},{"jtb.opcconscontr=3"})),"-")</f>
        <v>227000</v>
      </c>
      <c r="F47" s="16">
        <f>IFERROR(_xll.ECONOMATICA($C$5,"AFAvCAmLP",,F$16,,,,$C$7,,,,IF($D$9=1,{"jtb.opcconscontr=2"},{"jtb.opcconscontr=3"})),"-")</f>
        <v>247000</v>
      </c>
    </row>
    <row r="48" spans="2:6" ht="15" customHeight="1" outlineLevel="7">
      <c r="B48" s="109" t="s">
        <v>50</v>
      </c>
      <c r="C48" s="110"/>
      <c r="D48" s="62">
        <f>IFERROR(_xll.ECONOMATICA($C$5,"AccRecLT",,D$16,,,,$C$7,,,,IF($D$9=1,{"jtb.opcconscontr=2"},{"jtb.opcconscontr=3"})),"-")</f>
        <v>10345000</v>
      </c>
      <c r="E48" s="28">
        <f>IFERROR(_xll.ECONOMATICA($C$5,"AccRecLT",,E$16,,,,$C$7,,,,IF($D$9=1,{"jtb.opcconscontr=2"},{"jtb.opcconscontr=3"})),"-")</f>
        <v>13675000</v>
      </c>
      <c r="F48" s="29">
        <f>IFERROR(_xll.ECONOMATICA($C$5,"AccRecLT",,F$16,,,,$C$7,,,,IF($D$9=1,{"jtb.opcconscontr=2"},{"jtb.opcconscontr=3"})),"-")</f>
        <v>10603000</v>
      </c>
    </row>
    <row r="49" spans="2:6" ht="15" customHeight="1" outlineLevel="7">
      <c r="B49" s="111" t="s">
        <v>51</v>
      </c>
      <c r="C49" s="112"/>
      <c r="D49" s="63" t="str">
        <f>IFERROR(_xll.ECONOMATICA($C$5,"ReceLT",,D$16,,,,$C$7,,,,IF($D$9=1,{"jtb.opcconscontr=2"},{"jtb.opcconscontr=3"})),"-")</f>
        <v>-</v>
      </c>
      <c r="E49" s="15" t="str">
        <f>IFERROR(_xll.ECONOMATICA($C$5,"ReceLT",,E$16,,,,$C$7,,,,IF($D$9=1,{"jtb.opcconscontr=2"},{"jtb.opcconscontr=3"})),"-")</f>
        <v>-</v>
      </c>
      <c r="F49" s="16" t="str">
        <f>IFERROR(_xll.ECONOMATICA($C$5,"ReceLT",,F$16,,,,$C$7,,,,IF($D$9=1,{"jtb.opcconscontr=2"},{"jtb.opcconscontr=3"})),"-")</f>
        <v>-</v>
      </c>
    </row>
    <row r="50" spans="2:6" ht="15" customHeight="1" outlineLevel="7">
      <c r="B50" s="113" t="s">
        <v>52</v>
      </c>
      <c r="C50" s="114"/>
      <c r="D50" s="62" t="str">
        <f>IFERROR(_xll.ECONOMATICA($C$5,"OtReLT",,D$16,,,,$C$7,,,,IF($D$9=1,{"jtb.opcconscontr=2"},{"jtb.opcconscontr=3"})),"-")</f>
        <v>-</v>
      </c>
      <c r="E50" s="28" t="str">
        <f>IFERROR(_xll.ECONOMATICA($C$5,"OtReLT",,E$16,,,,$C$7,,,,IF($D$9=1,{"jtb.opcconscontr=2"},{"jtb.opcconscontr=3"})),"-")</f>
        <v>-</v>
      </c>
      <c r="F50" s="29" t="str">
        <f>IFERROR(_xll.ECONOMATICA($C$5,"OtReLT",,F$16,,,,$C$7,,,,IF($D$9=1,{"jtb.opcconscontr=2"},{"jtb.opcconscontr=3"})),"-")</f>
        <v>-</v>
      </c>
    </row>
    <row r="51" spans="2:6" ht="15" customHeight="1" outlineLevel="7">
      <c r="B51" s="119" t="s">
        <v>53</v>
      </c>
      <c r="C51" s="120"/>
      <c r="D51" s="63">
        <f>IFERROR(_xll.ECONOMATICA($C$5,"InveLT",,D$16,,,,$C$7,,,,IF($D$9=1,{"jtb.opcconscontr=2"},{"jtb.opcconscontr=3"})),"-")</f>
        <v>0</v>
      </c>
      <c r="E51" s="15">
        <f>IFERROR(_xll.ECONOMATICA($C$5,"InveLT",,E$16,,,,$C$7,,,,IF($D$9=1,{"jtb.opcconscontr=2"},{"jtb.opcconscontr=3"})),"-")</f>
        <v>0</v>
      </c>
      <c r="F51" s="16">
        <f>IFERROR(_xll.ECONOMATICA($C$5,"InveLT",,F$16,,,,$C$7,,,,IF($D$9=1,{"jtb.opcconscontr=2"},{"jtb.opcconscontr=3"})),"-")</f>
        <v>0</v>
      </c>
    </row>
    <row r="52" spans="2:6" ht="15" customHeight="1" outlineLevel="7">
      <c r="B52" s="109" t="s">
        <v>54</v>
      </c>
      <c r="C52" s="110"/>
      <c r="D52" s="62">
        <f>IFERROR(_xll.ECONOMATICA($C$5,"BioAstLT",,D$16,,,,$C$7,,,,IF($D$9=1,{"jtb.opcconscontr=2"},{"jtb.opcconscontr=3"})),"-")</f>
        <v>0</v>
      </c>
      <c r="E52" s="28">
        <f>IFERROR(_xll.ECONOMATICA($C$5,"BioAstLT",,E$16,,,,$C$7,,,,IF($D$9=1,{"jtb.opcconscontr=2"},{"jtb.opcconscontr=3"})),"-")</f>
        <v>0</v>
      </c>
      <c r="F52" s="29">
        <f>IFERROR(_xll.ECONOMATICA($C$5,"BioAstLT",,F$16,,,,$C$7,,,,IF($D$9=1,{"jtb.opcconscontr=2"},{"jtb.opcconscontr=3"})),"-")</f>
        <v>0</v>
      </c>
    </row>
    <row r="53" spans="2:6" ht="15" customHeight="1" outlineLevel="7">
      <c r="B53" s="119" t="s">
        <v>55</v>
      </c>
      <c r="C53" s="120"/>
      <c r="D53" s="63">
        <f>IFERROR(_xll.ECONOMATICA($C$5,"DfTxST",,D$16,,,,$C$7,,,,IF($D$9=1,{"jtb.opcconscontr=2"},{"jtb.opcconscontr=3"})),"-")</f>
        <v>21470000</v>
      </c>
      <c r="E53" s="15">
        <f>IFERROR(_xll.ECONOMATICA($C$5,"DfTxST",,E$16,,,,$C$7,,,,IF($D$9=1,{"jtb.opcconscontr=2"},{"jtb.opcconscontr=3"})),"-")</f>
        <v>49935000</v>
      </c>
      <c r="F53" s="16">
        <f>IFERROR(_xll.ECONOMATICA($C$5,"DfTxST",,F$16,,,,$C$7,,,,IF($D$9=1,{"jtb.opcconscontr=2"},{"jtb.opcconscontr=3"})),"-")</f>
        <v>21568000</v>
      </c>
    </row>
    <row r="54" spans="2:6" ht="15" customHeight="1" outlineLevel="7">
      <c r="B54" s="113" t="s">
        <v>56</v>
      </c>
      <c r="C54" s="114"/>
      <c r="D54" s="62">
        <f>IFERROR(_xll.ECONOMATICA($C$5,"InTx&amp;SoCoDef",,D$16,,,,$C$7,,,,IF($D$9=1,{"jtb.opcconscontr=2"},{"jtb.opcconscontr=3"})),"-")</f>
        <v>5593000</v>
      </c>
      <c r="E54" s="28">
        <f>IFERROR(_xll.ECONOMATICA($C$5,"InTx&amp;SoCoDef",,E$16,,,,$C$7,,,,IF($D$9=1,{"jtb.opcconscontr=2"},{"jtb.opcconscontr=3"})),"-")</f>
        <v>33524000</v>
      </c>
      <c r="F54" s="29">
        <f>IFERROR(_xll.ECONOMATICA($C$5,"InTx&amp;SoCoDef",,F$16,,,,$C$7,,,,IF($D$9=1,{"jtb.opcconscontr=2"},{"jtb.opcconscontr=3"})),"-")</f>
        <v>3371000</v>
      </c>
    </row>
    <row r="55" spans="2:6" ht="15" customHeight="1" outlineLevel="7">
      <c r="B55" s="111" t="s">
        <v>47</v>
      </c>
      <c r="C55" s="112"/>
      <c r="D55" s="63">
        <f>IFERROR(_xll.ECONOMATICA($C$5,"OtherDTST",,D$16,,,,$C$7,,,,IF($D$9=1,{"jtb.opcconscontr=2"},{"jtb.opcconscontr=3"})),"-")</f>
        <v>15877000</v>
      </c>
      <c r="E55" s="15">
        <f>IFERROR(_xll.ECONOMATICA($C$5,"OtherDTST",,E$16,,,,$C$7,,,,IF($D$9=1,{"jtb.opcconscontr=2"},{"jtb.opcconscontr=3"})),"-")</f>
        <v>16411000</v>
      </c>
      <c r="F55" s="16">
        <f>IFERROR(_xll.ECONOMATICA($C$5,"OtherDTST",,F$16,,,,$C$7,,,,IF($D$9=1,{"jtb.opcconscontr=2"},{"jtb.opcconscontr=3"})),"-")</f>
        <v>18197000</v>
      </c>
    </row>
    <row r="56" spans="2:6" ht="15" customHeight="1" outlineLevel="7">
      <c r="B56" s="109" t="s">
        <v>57</v>
      </c>
      <c r="C56" s="110"/>
      <c r="D56" s="62">
        <f>IFERROR(_xll.ECONOMATICA($C$5,"PpEx",,D$16,,,,$C$7,,,,IF($D$9=1,{"jtb.opcconscontr=2"},{"jtb.opcconscontr=3"})),"-")</f>
        <v>0</v>
      </c>
      <c r="E56" s="28">
        <f>IFERROR(_xll.ECONOMATICA($C$5,"PpEx",,E$16,,,,$C$7,,,,IF($D$9=1,{"jtb.opcconscontr=2"},{"jtb.opcconscontr=3"})),"-")</f>
        <v>0</v>
      </c>
      <c r="F56" s="29">
        <f>IFERROR(_xll.ECONOMATICA($C$5,"PpEx",,F$16,,,,$C$7,,,,IF($D$9=1,{"jtb.opcconscontr=2"},{"jtb.opcconscontr=3"})),"-")</f>
        <v>0</v>
      </c>
    </row>
    <row r="57" spans="2:6" ht="15" customHeight="1" outlineLevel="7">
      <c r="B57" s="119" t="s">
        <v>58</v>
      </c>
      <c r="C57" s="120"/>
      <c r="D57" s="63">
        <f>IFERROR(_xll.ECONOMATICA($C$5,"ReRelPa",,D$16,,,,$C$7,,,,IF($D$9=1,{"jtb.opcconscontr=2"},{"jtb.opcconscontr=3"})),"-")</f>
        <v>0</v>
      </c>
      <c r="E57" s="15">
        <f>IFERROR(_xll.ECONOMATICA($C$5,"ReRelPa",,E$16,,,,$C$7,,,,IF($D$9=1,{"jtb.opcconscontr=2"},{"jtb.opcconscontr=3"})),"-")</f>
        <v>0</v>
      </c>
      <c r="F57" s="16">
        <f>IFERROR(_xll.ECONOMATICA($C$5,"ReRelPa",,F$16,,,,$C$7,,,,IF($D$9=1,{"jtb.opcconscontr=2"},{"jtb.opcconscontr=3"})),"-")</f>
        <v>0</v>
      </c>
    </row>
    <row r="58" spans="2:6" ht="15" customHeight="1" outlineLevel="7">
      <c r="B58" s="113" t="s">
        <v>59</v>
      </c>
      <c r="C58" s="114"/>
      <c r="D58" s="62">
        <f>IFERROR(_xll.ECONOMATICA($C$5,"fr Assoc",,D$16,,,,$C$7,,,,IF($D$9=1,{"jtb.opcconscontr=2"},{"jtb.opcconscontr=3"})),"-")</f>
        <v>0</v>
      </c>
      <c r="E58" s="28">
        <f>IFERROR(_xll.ECONOMATICA($C$5,"fr Assoc",,E$16,,,,$C$7,,,,IF($D$9=1,{"jtb.opcconscontr=2"},{"jtb.opcconscontr=3"})),"-")</f>
        <v>0</v>
      </c>
      <c r="F58" s="29">
        <f>IFERROR(_xll.ECONOMATICA($C$5,"fr Assoc",,F$16,,,,$C$7,,,,IF($D$9=1,{"jtb.opcconscontr=2"},{"jtb.opcconscontr=3"})),"-")</f>
        <v>0</v>
      </c>
    </row>
    <row r="59" spans="2:6" ht="15" customHeight="1" outlineLevel="7">
      <c r="B59" s="111" t="s">
        <v>60</v>
      </c>
      <c r="C59" s="112"/>
      <c r="D59" s="63">
        <f>IFERROR(_xll.ECONOMATICA($C$5,"fr Subs",,D$16,,,,$C$7,,,,IF($D$9=1,{"jtb.opcconscontr=2"},{"jtb.opcconscontr=3"})),"-")</f>
        <v>0</v>
      </c>
      <c r="E59" s="15">
        <f>IFERROR(_xll.ECONOMATICA($C$5,"fr Subs",,E$16,,,,$C$7,,,,IF($D$9=1,{"jtb.opcconscontr=2"},{"jtb.opcconscontr=3"})),"-")</f>
        <v>0</v>
      </c>
      <c r="F59" s="16">
        <f>IFERROR(_xll.ECONOMATICA($C$5,"fr Subs",,F$16,,,,$C$7,,,,IF($D$9=1,{"jtb.opcconscontr=2"},{"jtb.opcconscontr=3"})),"-")</f>
        <v>0</v>
      </c>
    </row>
    <row r="60" spans="2:6" ht="15" customHeight="1" outlineLevel="7">
      <c r="B60" s="113" t="s">
        <v>61</v>
      </c>
      <c r="C60" s="114"/>
      <c r="D60" s="62">
        <f>IFERROR(_xll.ECONOMATICA($C$5,"ReFrParCo",,D$16,,,,$C$7,,,,IF($D$9=1,{"jtb.opcconscontr=2"},{"jtb.opcconscontr=3"})),"-")</f>
        <v>0</v>
      </c>
      <c r="E60" s="28">
        <f>IFERROR(_xll.ECONOMATICA($C$5,"ReFrParCo",,E$16,,,,$C$7,,,,IF($D$9=1,{"jtb.opcconscontr=2"},{"jtb.opcconscontr=3"})),"-")</f>
        <v>0</v>
      </c>
      <c r="F60" s="29">
        <f>IFERROR(_xll.ECONOMATICA($C$5,"ReFrParCo",,F$16,,,,$C$7,,,,IF($D$9=1,{"jtb.opcconscontr=2"},{"jtb.opcconscontr=3"})),"-")</f>
        <v>0</v>
      </c>
    </row>
    <row r="61" spans="2:6" ht="15" customHeight="1" outlineLevel="7">
      <c r="B61" s="111" t="s">
        <v>62</v>
      </c>
      <c r="C61" s="112"/>
      <c r="D61" s="63">
        <f>IFERROR(_xll.ECONOMATICA($C$5,"ReOtRePa",,D$16,,,,$C$7,,,,IF($D$9=1,{"jtb.opcconscontr=2"},{"jtb.opcconscontr=3"})),"-")</f>
        <v>0</v>
      </c>
      <c r="E61" s="15">
        <f>IFERROR(_xll.ECONOMATICA($C$5,"ReOtRePa",,E$16,,,,$C$7,,,,IF($D$9=1,{"jtb.opcconscontr=2"},{"jtb.opcconscontr=3"})),"-")</f>
        <v>0</v>
      </c>
      <c r="F61" s="16">
        <f>IFERROR(_xll.ECONOMATICA($C$5,"ReOtRePa",,F$16,,,,$C$7,,,,IF($D$9=1,{"jtb.opcconscontr=2"},{"jtb.opcconscontr=3"})),"-")</f>
        <v>0</v>
      </c>
    </row>
    <row r="62" spans="2:6" ht="15" customHeight="1" outlineLevel="7">
      <c r="B62" s="109" t="s">
        <v>63</v>
      </c>
      <c r="C62" s="110"/>
      <c r="D62" s="62">
        <f>IFERROR(_xll.ECONOMATICA($C$5,"OtNCAst",,D$16,,,,$C$7,,,,IF($D$9=1,{"jtb.opcconscontr=2"},{"jtb.opcconscontr=3"})),"-")</f>
        <v>39259000</v>
      </c>
      <c r="E62" s="28">
        <f>IFERROR(_xll.ECONOMATICA($C$5,"OtNCAst",,E$16,,,,$C$7,,,,IF($D$9=1,{"jtb.opcconscontr=2"},{"jtb.opcconscontr=3"})),"-")</f>
        <v>41137000</v>
      </c>
      <c r="F62" s="29">
        <f>IFERROR(_xll.ECONOMATICA($C$5,"OtNCAst",,F$16,,,,$C$7,,,,IF($D$9=1,{"jtb.opcconscontr=2"},{"jtb.opcconscontr=3"})),"-")</f>
        <v>47574000</v>
      </c>
    </row>
    <row r="63" spans="2:6" ht="15" customHeight="1" outlineLevel="7">
      <c r="B63" s="111" t="s">
        <v>64</v>
      </c>
      <c r="C63" s="112"/>
      <c r="D63" s="63">
        <f>IFERROR(_xll.ECONOMATICA($C$5,"NCHFSAsLT",,D$16,,,,$C$7,,,,IF($D$9=1,{"jtb.opcconscontr=2"},{"jtb.opcconscontr=3"})),"-")</f>
        <v>0</v>
      </c>
      <c r="E63" s="15">
        <f>IFERROR(_xll.ECONOMATICA($C$5,"NCHFSAsLT",,E$16,,,,$C$7,,,,IF($D$9=1,{"jtb.opcconscontr=2"},{"jtb.opcconscontr=3"})),"-")</f>
        <v>0</v>
      </c>
      <c r="F63" s="16">
        <f>IFERROR(_xll.ECONOMATICA($C$5,"NCHFSAsLT",,F$16,,,,$C$7,,,,IF($D$9=1,{"jtb.opcconscontr=2"},{"jtb.opcconscontr=3"})),"-")</f>
        <v>0</v>
      </c>
    </row>
    <row r="64" spans="2:6" ht="15" customHeight="1" outlineLevel="7">
      <c r="B64" s="113" t="s">
        <v>65</v>
      </c>
      <c r="C64" s="114"/>
      <c r="D64" s="62">
        <f>IFERROR(_xll.ECONOMATICA($C$5,"DiscOpsLT",,D$16,,,,$C$7,,,,IF($D$9=1,{"jtb.opcconscontr=2"},{"jtb.opcconscontr=3"})),"-")</f>
        <v>0</v>
      </c>
      <c r="E64" s="28">
        <f>IFERROR(_xll.ECONOMATICA($C$5,"DiscOpsLT",,E$16,,,,$C$7,,,,IF($D$9=1,{"jtb.opcconscontr=2"},{"jtb.opcconscontr=3"})),"-")</f>
        <v>0</v>
      </c>
      <c r="F64" s="29">
        <f>IFERROR(_xll.ECONOMATICA($C$5,"DiscOpsLT",,F$16,,,,$C$7,,,,IF($D$9=1,{"jtb.opcconscontr=2"},{"jtb.opcconscontr=3"})),"-")</f>
        <v>0</v>
      </c>
    </row>
    <row r="65" spans="2:6" ht="15" customHeight="1" outlineLevel="7">
      <c r="B65" s="111" t="s">
        <v>47</v>
      </c>
      <c r="C65" s="112"/>
      <c r="D65" s="63">
        <f>IFERROR(_xll.ECONOMATICA($C$5,"OtherONCA",,D$16,,,,$C$7,,,,IF($D$9=1,{"jtb.opcconscontr=2"},{"jtb.opcconscontr=3"})),"-")</f>
        <v>39259000</v>
      </c>
      <c r="E65" s="15">
        <f>IFERROR(_xll.ECONOMATICA($C$5,"OtherONCA",,E$16,,,,$C$7,,,,IF($D$9=1,{"jtb.opcconscontr=2"},{"jtb.opcconscontr=3"})),"-")</f>
        <v>41137000</v>
      </c>
      <c r="F65" s="16">
        <f>IFERROR(_xll.ECONOMATICA($C$5,"OtherONCA",,F$16,,,,$C$7,,,,IF($D$9=1,{"jtb.opcconscontr=2"},{"jtb.opcconscontr=3"})),"-")</f>
        <v>47574000</v>
      </c>
    </row>
    <row r="66" spans="2:6" ht="15" customHeight="1" outlineLevel="7">
      <c r="B66" s="121" t="s">
        <v>66</v>
      </c>
      <c r="C66" s="122"/>
      <c r="D66" s="62">
        <f>IFERROR(_xll.ECONOMATICA($C$5,"Investm",,D$16,,,,$C$7,,,,IF($D$9=1,{"jtb.opcconscontr=2"},{"jtb.opcconscontr=3"})),"-")</f>
        <v>22166000</v>
      </c>
      <c r="E66" s="28">
        <f>IFERROR(_xll.ECONOMATICA($C$5,"Investm",,E$16,,,,$C$7,,,,IF($D$9=1,{"jtb.opcconscontr=2"},{"jtb.opcconscontr=3"})),"-")</f>
        <v>17010000</v>
      </c>
      <c r="F66" s="29">
        <f>IFERROR(_xll.ECONOMATICA($C$5,"Investm",,F$16,,,,$C$7,,,,IF($D$9=1,{"jtb.opcconscontr=2"},{"jtb.opcconscontr=3"})),"-")</f>
        <v>8427000</v>
      </c>
    </row>
    <row r="67" spans="2:6" ht="15" customHeight="1" outlineLevel="7">
      <c r="B67" s="119" t="s">
        <v>67</v>
      </c>
      <c r="C67" s="120"/>
      <c r="D67" s="63" t="str">
        <f>IFERROR(_xll.ECONOMATICA($C$5,"InSuOt",,D$16,,,,$C$7,,,,IF($D$9=1,{"jtb.opcconscontr=2"},{"jtb.opcconscontr=3"})),"-")</f>
        <v>-</v>
      </c>
      <c r="E67" s="15" t="str">
        <f>IFERROR(_xll.ECONOMATICA($C$5,"InSuOt",,E$16,,,,$C$7,,,,IF($D$9=1,{"jtb.opcconscontr=2"},{"jtb.opcconscontr=3"})),"-")</f>
        <v>-</v>
      </c>
      <c r="F67" s="16" t="str">
        <f>IFERROR(_xll.ECONOMATICA($C$5,"InSuOt",,F$16,,,,$C$7,,,,IF($D$9=1,{"jtb.opcconscontr=2"},{"jtb.opcconscontr=3"})),"-")</f>
        <v>-</v>
      </c>
    </row>
    <row r="68" spans="2:6" ht="15" customHeight="1" outlineLevel="7">
      <c r="B68" s="113" t="s">
        <v>68</v>
      </c>
      <c r="C68" s="114"/>
      <c r="D68" s="62" t="str">
        <f>IFERROR(_xll.ECONOMATICA($C$5,"InvAssocCos",,D$16,,,,$C$7,,,,IF($D$9=1,{"jtb.opcconscontr=2"},{"jtb.opcconscontr=3"})),"-")</f>
        <v>-</v>
      </c>
      <c r="E68" s="28" t="str">
        <f>IFERROR(_xll.ECONOMATICA($C$5,"InvAssocCos",,E$16,,,,$C$7,,,,IF($D$9=1,{"jtb.opcconscontr=2"},{"jtb.opcconscontr=3"})),"-")</f>
        <v>-</v>
      </c>
      <c r="F68" s="29" t="str">
        <f>IFERROR(_xll.ECONOMATICA($C$5,"InvAssocCos",,F$16,,,,$C$7,,,,IF($D$9=1,{"jtb.opcconscontr=2"},{"jtb.opcconscontr=3"})),"-")</f>
        <v>-</v>
      </c>
    </row>
    <row r="69" spans="2:6" ht="15" customHeight="1" outlineLevel="7">
      <c r="B69" s="111" t="s">
        <v>69</v>
      </c>
      <c r="C69" s="112"/>
      <c r="D69" s="63" t="str">
        <f>IFERROR(_xll.ECONOMATICA($C$5,"InvSubs",,D$16,,,,$C$7,,,,IF($D$9=1,{"jtb.opcconscontr=2"},{"jtb.opcconscontr=3"})),"-")</f>
        <v>-</v>
      </c>
      <c r="E69" s="15" t="str">
        <f>IFERROR(_xll.ECONOMATICA($C$5,"InvSubs",,E$16,,,,$C$7,,,,IF($D$9=1,{"jtb.opcconscontr=2"},{"jtb.opcconscontr=3"})),"-")</f>
        <v>-</v>
      </c>
      <c r="F69" s="16" t="str">
        <f>IFERROR(_xll.ECONOMATICA($C$5,"InvSubs",,F$16,,,,$C$7,,,,IF($D$9=1,{"jtb.opcconscontr=2"},{"jtb.opcconscontr=3"})),"-")</f>
        <v>-</v>
      </c>
    </row>
    <row r="70" spans="2:6" ht="15" customHeight="1" outlineLevel="7">
      <c r="B70" s="113" t="s">
        <v>70</v>
      </c>
      <c r="C70" s="114"/>
      <c r="D70" s="62" t="str">
        <f>IFERROR(_xll.ECONOMATICA($C$5,"InJoVen",,D$16,,,,$C$7,,,,IF($D$9=1,{"jtb.opcconscontr=2"},{"jtb.opcconscontr=3"})),"-")</f>
        <v>-</v>
      </c>
      <c r="E70" s="28" t="str">
        <f>IFERROR(_xll.ECONOMATICA($C$5,"InJoVen",,E$16,,,,$C$7,,,,IF($D$9=1,{"jtb.opcconscontr=2"},{"jtb.opcconscontr=3"})),"-")</f>
        <v>-</v>
      </c>
      <c r="F70" s="29" t="str">
        <f>IFERROR(_xll.ECONOMATICA($C$5,"InJoVen",,F$16,,,,$C$7,,,,IF($D$9=1,{"jtb.opcconscontr=2"},{"jtb.opcconscontr=3"})),"-")</f>
        <v>-</v>
      </c>
    </row>
    <row r="71" spans="2:6" ht="15" customHeight="1" outlineLevel="7">
      <c r="B71" s="111" t="s">
        <v>71</v>
      </c>
      <c r="C71" s="112"/>
      <c r="D71" s="63" t="str">
        <f>IFERROR(_xll.ECONOMATICA($C$5,"OtInReCo",,D$16,,,,$C$7,,,,IF($D$9=1,{"jtb.opcconscontr=2"},{"jtb.opcconscontr=3"})),"-")</f>
        <v>-</v>
      </c>
      <c r="E71" s="15" t="str">
        <f>IFERROR(_xll.ECONOMATICA($C$5,"OtInReCo",,E$16,,,,$C$7,,,,IF($D$9=1,{"jtb.opcconscontr=2"},{"jtb.opcconscontr=3"})),"-")</f>
        <v>-</v>
      </c>
      <c r="F71" s="16" t="str">
        <f>IFERROR(_xll.ECONOMATICA($C$5,"OtInReCo",,F$16,,,,$C$7,,,,IF($D$9=1,{"jtb.opcconscontr=2"},{"jtb.opcconscontr=3"})),"-")</f>
        <v>-</v>
      </c>
    </row>
    <row r="72" spans="2:6" ht="15" customHeight="1" outlineLevel="7">
      <c r="B72" s="109" t="s">
        <v>72</v>
      </c>
      <c r="C72" s="110"/>
      <c r="D72" s="62" t="str">
        <f>IFERROR(_xll.ECONOMATICA($C$5,"InvProp",,D$16,,,,$C$7,,,,IF($D$9=1,{"jtb.opcconscontr=2"},{"jtb.opcconscontr=3"})),"-")</f>
        <v>-</v>
      </c>
      <c r="E72" s="28" t="str">
        <f>IFERROR(_xll.ECONOMATICA($C$5,"InvProp",,E$16,,,,$C$7,,,,IF($D$9=1,{"jtb.opcconscontr=2"},{"jtb.opcconscontr=3"})),"-")</f>
        <v>-</v>
      </c>
      <c r="F72" s="29" t="str">
        <f>IFERROR(_xll.ECONOMATICA($C$5,"InvProp",,F$16,,,,$C$7,,,,IF($D$9=1,{"jtb.opcconscontr=2"},{"jtb.opcconscontr=3"})),"-")</f>
        <v>-</v>
      </c>
    </row>
    <row r="73" spans="2:6" ht="15" customHeight="1" outlineLevel="7">
      <c r="B73" s="107" t="s">
        <v>73</v>
      </c>
      <c r="C73" s="108"/>
      <c r="D73" s="63">
        <f>IFERROR(_xll.ECONOMATICA($C$5,"PPE Net",,D$16,,,,$C$7,,,,IF($D$9=1,{"jtb.opcconscontr=2"},{"jtb.opcconscontr=3"})),"-")</f>
        <v>641949000</v>
      </c>
      <c r="E73" s="15">
        <f>IFERROR(_xll.ECONOMATICA($C$5,"PPE Net",,E$16,,,,$C$7,,,,IF($D$9=1,{"jtb.opcconscontr=2"},{"jtb.opcconscontr=3"})),"-")</f>
        <v>645434000</v>
      </c>
      <c r="F73" s="16">
        <f>IFERROR(_xll.ECONOMATICA($C$5,"PPE Net",,F$16,,,,$C$7,,,,IF($D$9=1,{"jtb.opcconscontr=2"},{"jtb.opcconscontr=3"})),"-")</f>
        <v>699406000</v>
      </c>
    </row>
    <row r="74" spans="2:6" ht="15" customHeight="1" outlineLevel="7">
      <c r="B74" s="109" t="s">
        <v>74</v>
      </c>
      <c r="C74" s="110"/>
      <c r="D74" s="62" t="str">
        <f>IFERROR(_xll.ECONOMATICA($C$5,"InOper",,D$16,,,,$C$7,,,,IF($D$9=1,{"jtb.opcconscontr=2"},{"jtb.opcconscontr=3"})),"-")</f>
        <v>-</v>
      </c>
      <c r="E74" s="28" t="str">
        <f>IFERROR(_xll.ECONOMATICA($C$5,"InOper",,E$16,,,,$C$7,,,,IF($D$9=1,{"jtb.opcconscontr=2"},{"jtb.opcconscontr=3"})),"-")</f>
        <v>-</v>
      </c>
      <c r="F74" s="29" t="str">
        <f>IFERROR(_xll.ECONOMATICA($C$5,"InOper",,F$16,,,,$C$7,,,,IF($D$9=1,{"jtb.opcconscontr=2"},{"jtb.opcconscontr=3"})),"-")</f>
        <v>-</v>
      </c>
    </row>
    <row r="75" spans="2:6" ht="15" customHeight="1" outlineLevel="7">
      <c r="B75" s="119" t="s">
        <v>75</v>
      </c>
      <c r="C75" s="120"/>
      <c r="D75" s="63" t="str">
        <f>IFERROR(_xll.ECONOMATICA($C$5,"Leased",,D$16,,,,$C$7,,,,IF($D$9=1,{"jtb.opcconscontr=2"},{"jtb.opcconscontr=3"})),"-")</f>
        <v>-</v>
      </c>
      <c r="E75" s="15" t="str">
        <f>IFERROR(_xll.ECONOMATICA($C$5,"Leased",,E$16,,,,$C$7,,,,IF($D$9=1,{"jtb.opcconscontr=2"},{"jtb.opcconscontr=3"})),"-")</f>
        <v>-</v>
      </c>
      <c r="F75" s="16" t="str">
        <f>IFERROR(_xll.ECONOMATICA($C$5,"Leased",,F$16,,,,$C$7,,,,IF($D$9=1,{"jtb.opcconscontr=2"},{"jtb.opcconscontr=3"})),"-")</f>
        <v>-</v>
      </c>
    </row>
    <row r="76" spans="2:6" ht="15" customHeight="1" outlineLevel="7">
      <c r="B76" s="109" t="s">
        <v>76</v>
      </c>
      <c r="C76" s="110"/>
      <c r="D76" s="62" t="str">
        <f>IFERROR(_xll.ECONOMATICA($C$5,"InmCur",,D$16,,,,$C$7,,,,IF($D$9=1,{"jtb.opcconscontr=2"},{"jtb.opcconscontr=3"})),"-")</f>
        <v>-</v>
      </c>
      <c r="E76" s="28" t="str">
        <f>IFERROR(_xll.ECONOMATICA($C$5,"InmCur",,E$16,,,,$C$7,,,,IF($D$9=1,{"jtb.opcconscontr=2"},{"jtb.opcconscontr=3"})),"-")</f>
        <v>-</v>
      </c>
      <c r="F76" s="29" t="str">
        <f>IFERROR(_xll.ECONOMATICA($C$5,"InmCur",,F$16,,,,$C$7,,,,IF($D$9=1,{"jtb.opcconscontr=2"},{"jtb.opcconscontr=3"})),"-")</f>
        <v>-</v>
      </c>
    </row>
    <row r="77" spans="2:6" ht="15" customHeight="1" outlineLevel="7">
      <c r="B77" s="107" t="s">
        <v>77</v>
      </c>
      <c r="C77" s="108"/>
      <c r="D77" s="63">
        <f>IFERROR(_xll.ECONOMATICA($C$5,"IntNet",,D$16,,,,$C$7,,,,IF($D$9=1,{"jtb.opcconscontr=2"},{"jtb.opcconscontr=3"})),"-")</f>
        <v>78489000</v>
      </c>
      <c r="E77" s="15">
        <f>IFERROR(_xll.ECONOMATICA($C$5,"IntNet",,E$16,,,,$C$7,,,,IF($D$9=1,{"jtb.opcconscontr=2"},{"jtb.opcconscontr=3"})),"-")</f>
        <v>77678000</v>
      </c>
      <c r="F77" s="16">
        <f>IFERROR(_xll.ECONOMATICA($C$5,"IntNet",,F$16,,,,$C$7,,,,IF($D$9=1,{"jtb.opcconscontr=2"},{"jtb.opcconscontr=3"})),"-")</f>
        <v>16879000</v>
      </c>
    </row>
    <row r="78" spans="2:6" ht="15" customHeight="1" outlineLevel="7">
      <c r="B78" s="109" t="s">
        <v>78</v>
      </c>
      <c r="C78" s="110"/>
      <c r="D78" s="62" t="str">
        <f>IFERROR(_xll.ECONOMATICA($C$5,"Intang",,D$16,,,,$C$7,,,,IF($D$9=1,{"jtb.opcconscontr=2"},{"jtb.opcconscontr=3"})),"-")</f>
        <v>-</v>
      </c>
      <c r="E78" s="28" t="str">
        <f>IFERROR(_xll.ECONOMATICA($C$5,"Intang",,E$16,,,,$C$7,,,,IF($D$9=1,{"jtb.opcconscontr=2"},{"jtb.opcconscontr=3"})),"-")</f>
        <v>-</v>
      </c>
      <c r="F78" s="29" t="str">
        <f>IFERROR(_xll.ECONOMATICA($C$5,"Intang",,F$16,,,,$C$7,,,,IF($D$9=1,{"jtb.opcconscontr=2"},{"jtb.opcconscontr=3"})),"-")</f>
        <v>-</v>
      </c>
    </row>
    <row r="79" spans="2:6" ht="15" customHeight="1" outlineLevel="7">
      <c r="B79" s="111" t="s">
        <v>79</v>
      </c>
      <c r="C79" s="112"/>
      <c r="D79" s="63" t="str">
        <f>IFERROR(_xll.ECONOMATICA($C$5,"ConArrang",,D$16,,,,$C$7,,,,IF($D$9=1,{"jtb.opcconscontr=2"},{"jtb.opcconscontr=3"})),"-")</f>
        <v>-</v>
      </c>
      <c r="E79" s="15" t="str">
        <f>IFERROR(_xll.ECONOMATICA($C$5,"ConArrang",,E$16,,,,$C$7,,,,IF($D$9=1,{"jtb.opcconscontr=2"},{"jtb.opcconscontr=3"})),"-")</f>
        <v>-</v>
      </c>
      <c r="F79" s="16" t="str">
        <f>IFERROR(_xll.ECONOMATICA($C$5,"ConArrang",,F$16,,,,$C$7,,,,IF($D$9=1,{"jtb.opcconscontr=2"},{"jtb.opcconscontr=3"})),"-")</f>
        <v>-</v>
      </c>
    </row>
    <row r="80" spans="2:6" ht="15" customHeight="1" outlineLevel="7">
      <c r="B80" s="113" t="s">
        <v>47</v>
      </c>
      <c r="C80" s="114"/>
      <c r="D80" s="62" t="str">
        <f>IFERROR(_xll.ECONOMATICA($C$5,"OtherIntan",,D$16,,,,$C$7,,,,IF($D$9=1,{"jtb.opcconscontr=2"},{"jtb.opcconscontr=3"})),"-")</f>
        <v>-</v>
      </c>
      <c r="E80" s="28" t="str">
        <f>IFERROR(_xll.ECONOMATICA($C$5,"OtherIntan",,E$16,,,,$C$7,,,,IF($D$9=1,{"jtb.opcconscontr=2"},{"jtb.opcconscontr=3"})),"-")</f>
        <v>-</v>
      </c>
      <c r="F80" s="29" t="str">
        <f>IFERROR(_xll.ECONOMATICA($C$5,"OtherIntan",,F$16,,,,$C$7,,,,IF($D$9=1,{"jtb.opcconscontr=2"},{"jtb.opcconscontr=3"})),"-")</f>
        <v>-</v>
      </c>
    </row>
    <row r="81" spans="2:6" ht="15" customHeight="1" outlineLevel="7" thickBot="1">
      <c r="B81" s="115" t="s">
        <v>80</v>
      </c>
      <c r="C81" s="116"/>
      <c r="D81" s="64" t="str">
        <f>IFERROR(_xll.ECONOMATICA($C$5,"Goodwill",,D$16,,,,$C$7,,,,IF($D$9=1,{"jtb.opcconscontr=2"},{"jtb.opcconscontr=3"})),"-")</f>
        <v>-</v>
      </c>
      <c r="E81" s="17" t="str">
        <f>IFERROR(_xll.ECONOMATICA($C$5,"Goodwill",,E$16,,,,$C$7,,,,IF($D$9=1,{"jtb.opcconscontr=2"},{"jtb.opcconscontr=3"})),"-")</f>
        <v>-</v>
      </c>
      <c r="F81" s="18" t="str">
        <f>IFERROR(_xll.ECONOMATICA($C$5,"Goodwill",,F$16,,,,$C$7,,,,IF($D$9=1,{"jtb.opcconscontr=2"},{"jtb.opcconscontr=3"})),"-")</f>
        <v>-</v>
      </c>
    </row>
    <row r="82" spans="2:6" s="3" customFormat="1" ht="15" customHeight="1" thickTop="1"/>
    <row r="83" spans="2:6" ht="15" customHeight="1" outlineLevel="2" thickBot="1">
      <c r="B83" s="79" t="s">
        <v>81</v>
      </c>
      <c r="C83" s="80"/>
      <c r="D83" s="11">
        <f>$D$16</f>
        <v>43830</v>
      </c>
      <c r="E83" s="11">
        <f>$E$16</f>
        <v>44196</v>
      </c>
      <c r="F83" s="12">
        <f>$F$16</f>
        <v>44561</v>
      </c>
    </row>
    <row r="84" spans="2:6" ht="15" customHeight="1" outlineLevel="2" thickTop="1">
      <c r="B84" s="117" t="s">
        <v>82</v>
      </c>
      <c r="C84" s="118"/>
      <c r="D84" s="19">
        <f>IFERROR(_xll.ECONOMATICA($C$5,"Liability+Equity",,D$83,,,,$C$7,,,,IF($D$9=1,{"jtb.opcconscontr=2"},{"jtb.opcconscontr=3"})),"-")</f>
        <v>926011000</v>
      </c>
      <c r="E84" s="19">
        <f>IFERROR(_xll.ECONOMATICA($C$5,"Liability+Equity",,E$83,,,,$C$7,,,,IF($D$9=1,{"jtb.opcconscontr=2"},{"jtb.opcconscontr=3"})),"-")</f>
        <v>987419000</v>
      </c>
      <c r="F84" s="14">
        <f>IFERROR(_xll.ECONOMATICA($C$5,"Liability+Equity",,F$83,,,,$C$7,,,,IF($D$9=1,{"jtb.opcconscontr=2"},{"jtb.opcconscontr=3"})),"-")</f>
        <v>972951000</v>
      </c>
    </row>
    <row r="85" spans="2:6" ht="15" customHeight="1" outlineLevel="2">
      <c r="B85" s="89" t="s">
        <v>83</v>
      </c>
      <c r="C85" s="90"/>
      <c r="D85" s="27">
        <f>IFERROR(_xll.ECONOMATICA($C$5,"Curr Liab",,D$83,,,,$C$7,,,,IF($D$9=1,{"jtb.opcconscontr=2"},{"jtb.opcconscontr=3"})),"-")</f>
        <v>116147000</v>
      </c>
      <c r="E85" s="27">
        <f>IFERROR(_xll.ECONOMATICA($C$5,"Curr Liab",,E$83,,,,$C$7,,,,IF($D$9=1,{"jtb.opcconscontr=2"},{"jtb.opcconscontr=3"})),"-")</f>
        <v>136287000</v>
      </c>
      <c r="F85" s="29">
        <f>IFERROR(_xll.ECONOMATICA($C$5,"Curr Liab",,F$83,,,,$C$7,,,,IF($D$9=1,{"jtb.opcconscontr=2"},{"jtb.opcconscontr=3"})),"-")</f>
        <v>134913000</v>
      </c>
    </row>
    <row r="86" spans="2:6" ht="15" customHeight="1" outlineLevel="2">
      <c r="B86" s="83" t="s">
        <v>84</v>
      </c>
      <c r="C86" s="84"/>
      <c r="D86" s="20">
        <f>IFERROR(_xll.ECONOMATICA($C$5,"Em&amp;SoReLi",,D$83,,,,$C$7,,,,IF($D$9=1,{"jtb.opcconscontr=2"},{"jtb.opcconscontr=3"})),"-")</f>
        <v>6632000</v>
      </c>
      <c r="E86" s="20">
        <f>IFERROR(_xll.ECONOMATICA($C$5,"Em&amp;SoReLi",,E$83,,,,$C$7,,,,IF($D$9=1,{"jtb.opcconscontr=2"},{"jtb.opcconscontr=3"})),"-")</f>
        <v>10150000</v>
      </c>
      <c r="F86" s="16">
        <f>IFERROR(_xll.ECONOMATICA($C$5,"Em&amp;SoReLi",,F$83,,,,$C$7,,,,IF($D$9=1,{"jtb.opcconscontr=2"},{"jtb.opcconscontr=3"})),"-")</f>
        <v>8335000</v>
      </c>
    </row>
    <row r="87" spans="2:6" ht="15" customHeight="1" outlineLevel="1">
      <c r="B87" s="89" t="s">
        <v>85</v>
      </c>
      <c r="C87" s="90"/>
      <c r="D87" s="27" t="str">
        <f>IFERROR(_xll.ECONOMATICA($C$5,"SocReLia",,D$83,,,,$C$7,,,,IF($D$9=1,{"jtb.opcconscontr=2"},{"jtb.opcconscontr=3"})),"-")</f>
        <v>-</v>
      </c>
      <c r="E87" s="27" t="str">
        <f>IFERROR(_xll.ECONOMATICA($C$5,"SocReLia",,E$83,,,,$C$7,,,,IF($D$9=1,{"jtb.opcconscontr=2"},{"jtb.opcconscontr=3"})),"-")</f>
        <v>-</v>
      </c>
      <c r="F87" s="29" t="str">
        <f>IFERROR(_xll.ECONOMATICA($C$5,"SocReLia",,F$83,,,,$C$7,,,,IF($D$9=1,{"jtb.opcconscontr=2"},{"jtb.opcconscontr=3"})),"-")</f>
        <v>-</v>
      </c>
    </row>
    <row r="88" spans="2:6" ht="15" customHeight="1" outlineLevel="1">
      <c r="B88" s="87" t="s">
        <v>86</v>
      </c>
      <c r="C88" s="88"/>
      <c r="D88" s="20" t="str">
        <f>IFERROR(_xll.ECONOMATICA($C$5,"EmReLiST",,D$83,,,,$C$7,,,,IF($D$9=1,{"jtb.opcconscontr=2"},{"jtb.opcconscontr=3"})),"-")</f>
        <v>-</v>
      </c>
      <c r="E88" s="20" t="str">
        <f>IFERROR(_xll.ECONOMATICA($C$5,"EmReLiST",,E$83,,,,$C$7,,,,IF($D$9=1,{"jtb.opcconscontr=2"},{"jtb.opcconscontr=3"})),"-")</f>
        <v>-</v>
      </c>
      <c r="F88" s="16" t="str">
        <f>IFERROR(_xll.ECONOMATICA($C$5,"EmReLiST",,F$83,,,,$C$7,,,,IF($D$9=1,{"jtb.opcconscontr=2"},{"jtb.opcconscontr=3"})),"-")</f>
        <v>-</v>
      </c>
    </row>
    <row r="89" spans="2:6" ht="15" customHeight="1" outlineLevel="1">
      <c r="B89" s="85" t="s">
        <v>87</v>
      </c>
      <c r="C89" s="86"/>
      <c r="D89" s="27">
        <f>IFERROR(_xll.ECONOMATICA($C$5,"ST Acc Payable",,D$83,,,,$C$7,,,,IF($D$9=1,{"jtb.opcconscontr=2"},{"jtb.opcconscontr=3"})),"-")</f>
        <v>22576000</v>
      </c>
      <c r="E89" s="27">
        <f>IFERROR(_xll.ECONOMATICA($C$5,"ST Acc Payable",,E$83,,,,$C$7,,,,IF($D$9=1,{"jtb.opcconscontr=2"},{"jtb.opcconscontr=3"})),"-")</f>
        <v>35645000</v>
      </c>
      <c r="F89" s="29">
        <f>IFERROR(_xll.ECONOMATICA($C$5,"ST Acc Payable",,F$83,,,,$C$7,,,,IF($D$9=1,{"jtb.opcconscontr=2"},{"jtb.opcconscontr=3"})),"-")</f>
        <v>30597000</v>
      </c>
    </row>
    <row r="90" spans="2:6" ht="15" customHeight="1" outlineLevel="1">
      <c r="B90" s="87" t="s">
        <v>88</v>
      </c>
      <c r="C90" s="88"/>
      <c r="D90" s="20" t="str">
        <f>IFERROR(_xll.ECONOMATICA($C$5,"Domest",,D$83,,,,$C$7,,,,IF($D$9=1,{"jtb.opcconscontr=2"},{"jtb.opcconscontr=3"})),"-")</f>
        <v>-</v>
      </c>
      <c r="E90" s="20" t="str">
        <f>IFERROR(_xll.ECONOMATICA($C$5,"Domest",,E$83,,,,$C$7,,,,IF($D$9=1,{"jtb.opcconscontr=2"},{"jtb.opcconscontr=3"})),"-")</f>
        <v>-</v>
      </c>
      <c r="F90" s="16" t="str">
        <f>IFERROR(_xll.ECONOMATICA($C$5,"Domest",,F$83,,,,$C$7,,,,IF($D$9=1,{"jtb.opcconscontr=2"},{"jtb.opcconscontr=3"})),"-")</f>
        <v>-</v>
      </c>
    </row>
    <row r="91" spans="2:6" ht="15" customHeight="1" outlineLevel="1">
      <c r="B91" s="89" t="s">
        <v>89</v>
      </c>
      <c r="C91" s="90"/>
      <c r="D91" s="27" t="str">
        <f>IFERROR(_xll.ECONOMATICA($C$5,"Foreign",,D$83,,,,$C$7,,,,IF($D$9=1,{"jtb.opcconscontr=2"},{"jtb.opcconscontr=3"})),"-")</f>
        <v>-</v>
      </c>
      <c r="E91" s="27" t="str">
        <f>IFERROR(_xll.ECONOMATICA($C$5,"Foreign",,E$83,,,,$C$7,,,,IF($D$9=1,{"jtb.opcconscontr=2"},{"jtb.opcconscontr=3"})),"-")</f>
        <v>-</v>
      </c>
      <c r="F91" s="29" t="str">
        <f>IFERROR(_xll.ECONOMATICA($C$5,"Foreign",,F$83,,,,$C$7,,,,IF($D$9=1,{"jtb.opcconscontr=2"},{"jtb.opcconscontr=3"})),"-")</f>
        <v>-</v>
      </c>
    </row>
    <row r="92" spans="2:6" ht="15" customHeight="1">
      <c r="B92" s="83" t="s">
        <v>90</v>
      </c>
      <c r="C92" s="84"/>
      <c r="D92" s="20">
        <f>IFERROR(_xll.ECONOMATICA($C$5,"Tax payb",,D$83,,,,$C$7,,,,IF($D$9=1,{"jtb.opcconscontr=2"},{"jtb.opcconscontr=3"})),"-")</f>
        <v>1114000</v>
      </c>
      <c r="E92" s="20">
        <f>IFERROR(_xll.ECONOMATICA($C$5,"Tax payb",,E$83,,,,$C$7,,,,IF($D$9=1,{"jtb.opcconscontr=2"},{"jtb.opcconscontr=3"})),"-")</f>
        <v>1029000</v>
      </c>
      <c r="F92" s="16">
        <f>IFERROR(_xll.ECONOMATICA($C$5,"Tax payb",,F$83,,,,$C$7,,,,IF($D$9=1,{"jtb.opcconscontr=2"},{"jtb.opcconscontr=3"})),"-")</f>
        <v>4089000</v>
      </c>
    </row>
    <row r="93" spans="2:6" ht="15" customHeight="1" outlineLevel="1">
      <c r="B93" s="89" t="s">
        <v>91</v>
      </c>
      <c r="C93" s="90"/>
      <c r="D93" s="27">
        <f>IFERROR(_xll.ECONOMATICA($C$5,"Feder",,D$83,,,,$C$7,,,,IF($D$9=1,{"jtb.opcconscontr=2"},{"jtb.opcconscontr=3"})),"-")</f>
        <v>1114000</v>
      </c>
      <c r="E93" s="27">
        <f>IFERROR(_xll.ECONOMATICA($C$5,"Feder",,E$83,,,,$C$7,,,,IF($D$9=1,{"jtb.opcconscontr=2"},{"jtb.opcconscontr=3"})),"-")</f>
        <v>1029000</v>
      </c>
      <c r="F93" s="29">
        <f>IFERROR(_xll.ECONOMATICA($C$5,"Feder",,F$83,,,,$C$7,,,,IF($D$9=1,{"jtb.opcconscontr=2"},{"jtb.opcconscontr=3"})),"-")</f>
        <v>4089000</v>
      </c>
    </row>
    <row r="94" spans="2:6" ht="15" customHeight="1" outlineLevel="1">
      <c r="B94" s="91" t="s">
        <v>92</v>
      </c>
      <c r="C94" s="92"/>
      <c r="D94" s="20">
        <f>IFERROR(_xll.ECONOMATICA($C$5,"IT&amp;SCPay",,D$83,,,,$C$7,,,,IF($D$9=1,{"jtb.opcconscontr=2"},{"jtb.opcconscontr=3"})),"-")</f>
        <v>1114000</v>
      </c>
      <c r="E94" s="20">
        <f>IFERROR(_xll.ECONOMATICA($C$5,"IT&amp;SCPay",,E$83,,,,$C$7,,,,IF($D$9=1,{"jtb.opcconscontr=2"},{"jtb.opcconscontr=3"})),"-")</f>
        <v>1029000</v>
      </c>
      <c r="F94" s="16">
        <f>IFERROR(_xll.ECONOMATICA($C$5,"IT&amp;SCPay",,F$83,,,,$C$7,,,,IF($D$9=1,{"jtb.opcconscontr=2"},{"jtb.opcconscontr=3"})),"-")</f>
        <v>4089000</v>
      </c>
    </row>
    <row r="95" spans="2:6" ht="15" customHeight="1">
      <c r="B95" s="93" t="s">
        <v>47</v>
      </c>
      <c r="C95" s="94"/>
      <c r="D95" s="27">
        <f>IFERROR(_xll.ECONOMATICA($C$5,"OtherFed",,D$83,,,,$C$7,,,,IF($D$9=1,{"jtb.opcconscontr=2"},{"jtb.opcconscontr=3"})),"-")</f>
        <v>0</v>
      </c>
      <c r="E95" s="27">
        <f>IFERROR(_xll.ECONOMATICA($C$5,"OtherFed",,E$83,,,,$C$7,,,,IF($D$9=1,{"jtb.opcconscontr=2"},{"jtb.opcconscontr=3"})),"-")</f>
        <v>0</v>
      </c>
      <c r="F95" s="29">
        <f>IFERROR(_xll.ECONOMATICA($C$5,"OtherFed",,F$83,,,,$C$7,,,,IF($D$9=1,{"jtb.opcconscontr=2"},{"jtb.opcconscontr=3"})),"-")</f>
        <v>0</v>
      </c>
    </row>
    <row r="96" spans="2:6" ht="15" customHeight="1" outlineLevel="1">
      <c r="B96" s="87" t="s">
        <v>93</v>
      </c>
      <c r="C96" s="88"/>
      <c r="D96" s="20">
        <f>IFERROR(_xll.ECONOMATICA($C$5,"Estate",,D$83,,,,$C$7,,,,IF($D$9=1,{"jtb.opcconscontr=2"},{"jtb.opcconscontr=3"})),"-")</f>
        <v>0</v>
      </c>
      <c r="E96" s="20">
        <f>IFERROR(_xll.ECONOMATICA($C$5,"Estate",,E$83,,,,$C$7,,,,IF($D$9=1,{"jtb.opcconscontr=2"},{"jtb.opcconscontr=3"})),"-")</f>
        <v>0</v>
      </c>
      <c r="F96" s="16">
        <f>IFERROR(_xll.ECONOMATICA($C$5,"Estate",,F$83,,,,$C$7,,,,IF($D$9=1,{"jtb.opcconscontr=2"},{"jtb.opcconscontr=3"})),"-")</f>
        <v>0</v>
      </c>
    </row>
    <row r="97" spans="2:6" ht="15" customHeight="1" outlineLevel="1">
      <c r="B97" s="89" t="s">
        <v>94</v>
      </c>
      <c r="C97" s="90"/>
      <c r="D97" s="27">
        <f>IFERROR(_xll.ECONOMATICA($C$5,"Munic",,D$83,,,,$C$7,,,,IF($D$9=1,{"jtb.opcconscontr=2"},{"jtb.opcconscontr=3"})),"-")</f>
        <v>0</v>
      </c>
      <c r="E97" s="27">
        <f>IFERROR(_xll.ECONOMATICA($C$5,"Munic",,E$83,,,,$C$7,,,,IF($D$9=1,{"jtb.opcconscontr=2"},{"jtb.opcconscontr=3"})),"-")</f>
        <v>0</v>
      </c>
      <c r="F97" s="29">
        <f>IFERROR(_xll.ECONOMATICA($C$5,"Munic",,F$83,,,,$C$7,,,,IF($D$9=1,{"jtb.opcconscontr=2"},{"jtb.opcconscontr=3"})),"-")</f>
        <v>0</v>
      </c>
    </row>
    <row r="98" spans="2:6" ht="15" customHeight="1" outlineLevel="1">
      <c r="B98" s="83" t="s">
        <v>95</v>
      </c>
      <c r="C98" s="84"/>
      <c r="D98" s="20">
        <f>IFERROR(_xll.ECONOMATICA($C$5,"TotDebtST",,D$83,,,,$C$7,,,,IF($D$9=1,{"jtb.opcconscontr=2"},{"jtb.opcconscontr=3"})),"-")</f>
        <v>41139000</v>
      </c>
      <c r="E98" s="20">
        <f>IFERROR(_xll.ECONOMATICA($C$5,"TotDebtST",,E$83,,,,$C$7,,,,IF($D$9=1,{"jtb.opcconscontr=2"},{"jtb.opcconscontr=3"})),"-")</f>
        <v>51364000</v>
      </c>
      <c r="F98" s="16">
        <f>IFERROR(_xll.ECONOMATICA($C$5,"TotDebtST",,F$83,,,,$C$7,,,,IF($D$9=1,{"jtb.opcconscontr=2"},{"jtb.opcconscontr=3"})),"-")</f>
        <v>50631000</v>
      </c>
    </row>
    <row r="99" spans="2:6" ht="15" customHeight="1" outlineLevel="1">
      <c r="B99" s="89" t="s">
        <v>96</v>
      </c>
      <c r="C99" s="90"/>
      <c r="D99" s="27">
        <f>IFERROR(_xll.ECONOMATICA($C$5,"ST Debt",,D$83,,,,$C$7,,,,IF($D$9=1,{"jtb.opcconscontr=2"},{"jtb.opcconscontr=3"})),"-")</f>
        <v>18013000</v>
      </c>
      <c r="E99" s="27">
        <f>IFERROR(_xll.ECONOMATICA($C$5,"ST Debt",,E$83,,,,$C$7,,,,IF($D$9=1,{"jtb.opcconscontr=2"},{"jtb.opcconscontr=3"})),"-")</f>
        <v>21751000</v>
      </c>
      <c r="F99" s="29">
        <f>IFERROR(_xll.ECONOMATICA($C$5,"ST Debt",,F$83,,,,$C$7,,,,IF($D$9=1,{"jtb.opcconscontr=2"},{"jtb.opcconscontr=3"})),"-")</f>
        <v>20316000</v>
      </c>
    </row>
    <row r="100" spans="2:6" ht="15" customHeight="1">
      <c r="B100" s="91" t="s">
        <v>97</v>
      </c>
      <c r="C100" s="92"/>
      <c r="D100" s="20" t="str">
        <f>IFERROR(_xll.ECONOMATICA($C$5,"STDebLocalCur",,D$83,,,,$C$7,,,,IF($D$9=1,{"jtb.opcconscontr=2"},{"jtb.opcconscontr=3"})),"-")</f>
        <v>-</v>
      </c>
      <c r="E100" s="20" t="str">
        <f>IFERROR(_xll.ECONOMATICA($C$5,"STDebLocalCur",,E$83,,,,$C$7,,,,IF($D$9=1,{"jtb.opcconscontr=2"},{"jtb.opcconscontr=3"})),"-")</f>
        <v>-</v>
      </c>
      <c r="F100" s="16" t="str">
        <f>IFERROR(_xll.ECONOMATICA($C$5,"STDebLocalCur",,F$83,,,,$C$7,,,,IF($D$9=1,{"jtb.opcconscontr=2"},{"jtb.opcconscontr=3"})),"-")</f>
        <v>-</v>
      </c>
    </row>
    <row r="101" spans="2:6" ht="15" customHeight="1">
      <c r="B101" s="93" t="s">
        <v>98</v>
      </c>
      <c r="C101" s="94"/>
      <c r="D101" s="27" t="str">
        <f>IFERROR(_xll.ECONOMATICA($C$5,"STDebForgnCur",,D$83,,,,$C$7,,,,IF($D$9=1,{"jtb.opcconscontr=2"},{"jtb.opcconscontr=3"})),"-")</f>
        <v>-</v>
      </c>
      <c r="E101" s="27" t="str">
        <f>IFERROR(_xll.ECONOMATICA($C$5,"STDebForgnCur",,E$83,,,,$C$7,,,,IF($D$9=1,{"jtb.opcconscontr=2"},{"jtb.opcconscontr=3"})),"-")</f>
        <v>-</v>
      </c>
      <c r="F101" s="29" t="str">
        <f>IFERROR(_xll.ECONOMATICA($C$5,"STDebForgnCur",,F$83,,,,$C$7,,,,IF($D$9=1,{"jtb.opcconscontr=2"},{"jtb.opcconscontr=3"})),"-")</f>
        <v>-</v>
      </c>
    </row>
    <row r="102" spans="2:6" ht="15" customHeight="1" outlineLevel="1">
      <c r="B102" s="87" t="s">
        <v>99</v>
      </c>
      <c r="C102" s="88"/>
      <c r="D102" s="20">
        <f>IFERROR(_xll.ECONOMATICA($C$5,"ST Debent",,D$83,,,,$C$7,,,,IF($D$9=1,{"jtb.opcconscontr=2"},{"jtb.opcconscontr=3"})),"-")</f>
        <v>0</v>
      </c>
      <c r="E102" s="20">
        <f>IFERROR(_xll.ECONOMATICA($C$5,"ST Debent",,E$83,,,,$C$7,,,,IF($D$9=1,{"jtb.opcconscontr=2"},{"jtb.opcconscontr=3"})),"-")</f>
        <v>0</v>
      </c>
      <c r="F102" s="16">
        <f>IFERROR(_xll.ECONOMATICA($C$5,"ST Debent",,F$83,,,,$C$7,,,,IF($D$9=1,{"jtb.opcconscontr=2"},{"jtb.opcconscontr=3"})),"-")</f>
        <v>0</v>
      </c>
    </row>
    <row r="103" spans="2:6" ht="15" customHeight="1" outlineLevel="1">
      <c r="B103" s="89" t="s">
        <v>100</v>
      </c>
      <c r="C103" s="90"/>
      <c r="D103" s="27">
        <f>IFERROR(_xll.ECONOMATICA($C$5,"FiLeObl",,D$83,,,,$C$7,,,,IF($D$9=1,{"jtb.opcconscontr=2"},{"jtb.opcconscontr=3"})),"-")</f>
        <v>23126000</v>
      </c>
      <c r="E103" s="27">
        <f>IFERROR(_xll.ECONOMATICA($C$5,"FiLeObl",,E$83,,,,$C$7,,,,IF($D$9=1,{"jtb.opcconscontr=2"},{"jtb.opcconscontr=3"})),"-")</f>
        <v>29613000</v>
      </c>
      <c r="F103" s="29">
        <f>IFERROR(_xll.ECONOMATICA($C$5,"FiLeObl",,F$83,,,,$C$7,,,,IF($D$9=1,{"jtb.opcconscontr=2"},{"jtb.opcconscontr=3"})),"-")</f>
        <v>30315000</v>
      </c>
    </row>
    <row r="104" spans="2:6" ht="15" customHeight="1" outlineLevel="2">
      <c r="B104" s="83" t="s">
        <v>101</v>
      </c>
      <c r="C104" s="84"/>
      <c r="D104" s="20">
        <f>IFERROR(_xll.ECONOMATICA($C$5,"OthOblST",,D$83,,,,$C$7,,,,IF($D$9=1,{"jtb.opcconscontr=2"},{"jtb.opcconscontr=3"})),"-")</f>
        <v>28025000</v>
      </c>
      <c r="E104" s="20">
        <f>IFERROR(_xll.ECONOMATICA($C$5,"OthOblST",,E$83,,,,$C$7,,,,IF($D$9=1,{"jtb.opcconscontr=2"},{"jtb.opcconscontr=3"})),"-")</f>
        <v>26491000</v>
      </c>
      <c r="F104" s="16">
        <f>IFERROR(_xll.ECONOMATICA($C$5,"OthOblST",,F$83,,,,$C$7,,,,IF($D$9=1,{"jtb.opcconscontr=2"},{"jtb.opcconscontr=3"})),"-")</f>
        <v>32789000</v>
      </c>
    </row>
    <row r="105" spans="2:6" ht="15" customHeight="1" outlineLevel="2">
      <c r="B105" s="89" t="s">
        <v>102</v>
      </c>
      <c r="C105" s="90"/>
      <c r="D105" s="27">
        <f>IFERROR(_xll.ECONOMATICA($C$5,"RePaLiaST",,D$83,,,,$C$7,,,,IF($D$9=1,{"jtb.opcconscontr=2"},{"jtb.opcconscontr=3"})),"-")</f>
        <v>0</v>
      </c>
      <c r="E105" s="27">
        <f>IFERROR(_xll.ECONOMATICA($C$5,"RePaLiaST",,E$83,,,,$C$7,,,,IF($D$9=1,{"jtb.opcconscontr=2"},{"jtb.opcconscontr=3"})),"-")</f>
        <v>0</v>
      </c>
      <c r="F105" s="29">
        <f>IFERROR(_xll.ECONOMATICA($C$5,"RePaLiaST",,F$83,,,,$C$7,,,,IF($D$9=1,{"jtb.opcconscontr=2"},{"jtb.opcconscontr=3"})),"-")</f>
        <v>0</v>
      </c>
    </row>
    <row r="106" spans="2:6" ht="15" customHeight="1" outlineLevel="2">
      <c r="B106" s="91" t="s">
        <v>103</v>
      </c>
      <c r="C106" s="92"/>
      <c r="D106" s="20">
        <f>IFERROR(_xll.ECONOMATICA($C$5,"DueAsCoST",,D$83,,,,$C$7,,,,IF($D$9=1,{"jtb.opcconscontr=2"},{"jtb.opcconscontr=3"})),"-")</f>
        <v>0</v>
      </c>
      <c r="E106" s="20">
        <f>IFERROR(_xll.ECONOMATICA($C$5,"DueAsCoST",,E$83,,,,$C$7,,,,IF($D$9=1,{"jtb.opcconscontr=2"},{"jtb.opcconscontr=3"})),"-")</f>
        <v>0</v>
      </c>
      <c r="F106" s="16">
        <f>IFERROR(_xll.ECONOMATICA($C$5,"DueAsCoST",,F$83,,,,$C$7,,,,IF($D$9=1,{"jtb.opcconscontr=2"},{"jtb.opcconscontr=3"})),"-")</f>
        <v>0</v>
      </c>
    </row>
    <row r="107" spans="2:6" ht="15" customHeight="1" outlineLevel="2">
      <c r="B107" s="93" t="s">
        <v>104</v>
      </c>
      <c r="C107" s="94"/>
      <c r="D107" s="27">
        <f>IFERROR(_xll.ECONOMATICA($C$5,"DueSubST",,D$83,,,,$C$7,,,,IF($D$9=1,{"jtb.opcconscontr=2"},{"jtb.opcconscontr=3"})),"-")</f>
        <v>0</v>
      </c>
      <c r="E107" s="27">
        <f>IFERROR(_xll.ECONOMATICA($C$5,"DueSubST",,E$83,,,,$C$7,,,,IF($D$9=1,{"jtb.opcconscontr=2"},{"jtb.opcconscontr=3"})),"-")</f>
        <v>0</v>
      </c>
      <c r="F107" s="29">
        <f>IFERROR(_xll.ECONOMATICA($C$5,"DueSubST",,F$83,,,,$C$7,,,,IF($D$9=1,{"jtb.opcconscontr=2"},{"jtb.opcconscontr=3"})),"-")</f>
        <v>0</v>
      </c>
    </row>
    <row r="108" spans="2:6" ht="15" customHeight="1" outlineLevel="2">
      <c r="B108" s="91" t="s">
        <v>105</v>
      </c>
      <c r="C108" s="92"/>
      <c r="D108" s="20">
        <f>IFERROR(_xll.ECONOMATICA($C$5,"DuePaCoST",,D$83,,,,$C$7,,,,IF($D$9=1,{"jtb.opcconscontr=2"},{"jtb.opcconscontr=3"})),"-")</f>
        <v>0</v>
      </c>
      <c r="E108" s="20">
        <f>IFERROR(_xll.ECONOMATICA($C$5,"DuePaCoST",,E$83,,,,$C$7,,,,IF($D$9=1,{"jtb.opcconscontr=2"},{"jtb.opcconscontr=3"})),"-")</f>
        <v>0</v>
      </c>
      <c r="F108" s="16">
        <f>IFERROR(_xll.ECONOMATICA($C$5,"DuePaCoST",,F$83,,,,$C$7,,,,IF($D$9=1,{"jtb.opcconscontr=2"},{"jtb.opcconscontr=3"})),"-")</f>
        <v>0</v>
      </c>
    </row>
    <row r="109" spans="2:6" ht="15" customHeight="1" outlineLevel="2">
      <c r="B109" s="93" t="s">
        <v>106</v>
      </c>
      <c r="C109" s="94"/>
      <c r="D109" s="27">
        <f>IFERROR(_xll.ECONOMATICA($C$5,"OtRePaST",,D$83,,,,$C$7,,,,IF($D$9=1,{"jtb.opcconscontr=2"},{"jtb.opcconscontr=3"})),"-")</f>
        <v>0</v>
      </c>
      <c r="E109" s="27">
        <f>IFERROR(_xll.ECONOMATICA($C$5,"OtRePaST",,E$83,,,,$C$7,,,,IF($D$9=1,{"jtb.opcconscontr=2"},{"jtb.opcconscontr=3"})),"-")</f>
        <v>0</v>
      </c>
      <c r="F109" s="29">
        <f>IFERROR(_xll.ECONOMATICA($C$5,"OtRePaST",,F$83,,,,$C$7,,,,IF($D$9=1,{"jtb.opcconscontr=2"},{"jtb.opcconscontr=3"})),"-")</f>
        <v>0</v>
      </c>
    </row>
    <row r="110" spans="2:6" ht="15" customHeight="1" outlineLevel="2">
      <c r="B110" s="87" t="s">
        <v>107</v>
      </c>
      <c r="C110" s="88"/>
      <c r="D110" s="20">
        <f>IFERROR(_xll.ECONOMATICA($C$5,"OthST",,D$83,,,,$C$7,,,,IF($D$9=1,{"jtb.opcconscontr=2"},{"jtb.opcconscontr=3"})),"-")</f>
        <v>28025000</v>
      </c>
      <c r="E110" s="20">
        <f>IFERROR(_xll.ECONOMATICA($C$5,"OthST",,E$83,,,,$C$7,,,,IF($D$9=1,{"jtb.opcconscontr=2"},{"jtb.opcconscontr=3"})),"-")</f>
        <v>26491000</v>
      </c>
      <c r="F110" s="16">
        <f>IFERROR(_xll.ECONOMATICA($C$5,"OthST",,F$83,,,,$C$7,,,,IF($D$9=1,{"jtb.opcconscontr=2"},{"jtb.opcconscontr=3"})),"-")</f>
        <v>32789000</v>
      </c>
    </row>
    <row r="111" spans="2:6" ht="15" customHeight="1" outlineLevel="1">
      <c r="B111" s="93" t="s">
        <v>108</v>
      </c>
      <c r="C111" s="94"/>
      <c r="D111" s="27">
        <f>IFERROR(_xll.ECONOMATICA($C$5,"DvDuST",,D$83,,,,$C$7,,,,IF($D$9=1,{"jtb.opcconscontr=2"},{"jtb.opcconscontr=3"})),"-")</f>
        <v>6278000</v>
      </c>
      <c r="E111" s="27">
        <f>IFERROR(_xll.ECONOMATICA($C$5,"DvDuST",,E$83,,,,$C$7,,,,IF($D$9=1,{"jtb.opcconscontr=2"},{"jtb.opcconscontr=3"})),"-")</f>
        <v>4457000</v>
      </c>
      <c r="F111" s="29">
        <f>IFERROR(_xll.ECONOMATICA($C$5,"DvDuST",,F$83,,,,$C$7,,,,IF($D$9=1,{"jtb.opcconscontr=2"},{"jtb.opcconscontr=3"})),"-")</f>
        <v>0</v>
      </c>
    </row>
    <row r="112" spans="2:6" ht="15" customHeight="1" outlineLevel="1">
      <c r="B112" s="91" t="s">
        <v>109</v>
      </c>
      <c r="C112" s="92"/>
      <c r="D112" s="20">
        <f>IFERROR(_xll.ECONOMATICA($C$5,"MiDivPay",,D$83,,,,$C$7,,,,IF($D$9=1,{"jtb.opcconscontr=2"},{"jtb.opcconscontr=3"})),"-")</f>
        <v>0</v>
      </c>
      <c r="E112" s="20">
        <f>IFERROR(_xll.ECONOMATICA($C$5,"MiDivPay",,E$83,,,,$C$7,,,,IF($D$9=1,{"jtb.opcconscontr=2"},{"jtb.opcconscontr=3"})),"-")</f>
        <v>0</v>
      </c>
      <c r="F112" s="16">
        <f>IFERROR(_xll.ECONOMATICA($C$5,"MiDivPay",,F$83,,,,$C$7,,,,IF($D$9=1,{"jtb.opcconscontr=2"},{"jtb.opcconscontr=3"})),"-")</f>
        <v>0</v>
      </c>
    </row>
    <row r="113" spans="2:6" ht="15" customHeight="1" outlineLevel="2">
      <c r="B113" s="93" t="s">
        <v>110</v>
      </c>
      <c r="C113" s="94"/>
      <c r="D113" s="27">
        <f>IFERROR(_xll.ECONOMATICA($C$5,"ShBaPaST",,D$83,,,,$C$7,,,,IF($D$9=1,{"jtb.opcconscontr=2"},{"jtb.opcconscontr=3"})),"-")</f>
        <v>0</v>
      </c>
      <c r="E113" s="27">
        <f>IFERROR(_xll.ECONOMATICA($C$5,"ShBaPaST",,E$83,,,,$C$7,,,,IF($D$9=1,{"jtb.opcconscontr=2"},{"jtb.opcconscontr=3"})),"-")</f>
        <v>0</v>
      </c>
      <c r="F113" s="29">
        <f>IFERROR(_xll.ECONOMATICA($C$5,"ShBaPaST",,F$83,,,,$C$7,,,,IF($D$9=1,{"jtb.opcconscontr=2"},{"jtb.opcconscontr=3"})),"-")</f>
        <v>0</v>
      </c>
    </row>
    <row r="114" spans="2:6" ht="15" customHeight="1" outlineLevel="2">
      <c r="B114" s="91" t="s">
        <v>47</v>
      </c>
      <c r="C114" s="92"/>
      <c r="D114" s="20">
        <f>IFERROR(_xll.ECONOMATICA($C$5,"OtherOST",,D$83,,,,$C$7,,,,IF($D$9=1,{"jtb.opcconscontr=2"},{"jtb.opcconscontr=3"})),"-")</f>
        <v>21747000</v>
      </c>
      <c r="E114" s="20">
        <f>IFERROR(_xll.ECONOMATICA($C$5,"OtherOST",,E$83,,,,$C$7,,,,IF($D$9=1,{"jtb.opcconscontr=2"},{"jtb.opcconscontr=3"})),"-")</f>
        <v>22034000</v>
      </c>
      <c r="F114" s="16">
        <f>IFERROR(_xll.ECONOMATICA($C$5,"OtherOST",,F$83,,,,$C$7,,,,IF($D$9=1,{"jtb.opcconscontr=2"},{"jtb.opcconscontr=3"})),"-")</f>
        <v>32789000</v>
      </c>
    </row>
    <row r="115" spans="2:6" ht="15" customHeight="1" outlineLevel="2">
      <c r="B115" s="85" t="s">
        <v>111</v>
      </c>
      <c r="C115" s="86"/>
      <c r="D115" s="27">
        <f>IFERROR(_xll.ECONOMATICA($C$5,"ST Provis",,D$83,,,,$C$7,,,,IF($D$9=1,{"jtb.opcconscontr=2"},{"jtb.opcconscontr=3"})),"-")</f>
        <v>3577000</v>
      </c>
      <c r="E115" s="27">
        <f>IFERROR(_xll.ECONOMATICA($C$5,"ST Provis",,E$83,,,,$C$7,,,,IF($D$9=1,{"jtb.opcconscontr=2"},{"jtb.opcconscontr=3"})),"-")</f>
        <v>8049000</v>
      </c>
      <c r="F115" s="29">
        <f>IFERROR(_xll.ECONOMATICA($C$5,"ST Provis",,F$83,,,,$C$7,,,,IF($D$9=1,{"jtb.opcconscontr=2"},{"jtb.opcconscontr=3"})),"-")</f>
        <v>3632000</v>
      </c>
    </row>
    <row r="116" spans="2:6" ht="15" customHeight="1" outlineLevel="2">
      <c r="B116" s="87" t="s">
        <v>112</v>
      </c>
      <c r="C116" s="88"/>
      <c r="D116" s="20">
        <f>IFERROR(_xll.ECONOMATICA($C$5,"PrTxSSST",,D$83,,,,$C$7,,,,IF($D$9=1,{"jtb.opcconscontr=2"},{"jtb.opcconscontr=3"})),"-")</f>
        <v>0</v>
      </c>
      <c r="E116" s="20">
        <f>IFERROR(_xll.ECONOMATICA($C$5,"PrTxSSST",,E$83,,,,$C$7,,,,IF($D$9=1,{"jtb.opcconscontr=2"},{"jtb.opcconscontr=3"})),"-")</f>
        <v>0</v>
      </c>
      <c r="F116" s="16">
        <f>IFERROR(_xll.ECONOMATICA($C$5,"PrTxSSST",,F$83,,,,$C$7,,,,IF($D$9=1,{"jtb.opcconscontr=2"},{"jtb.opcconscontr=3"})),"-")</f>
        <v>0</v>
      </c>
    </row>
    <row r="117" spans="2:6" ht="15" customHeight="1" outlineLevel="2">
      <c r="B117" s="93" t="s">
        <v>113</v>
      </c>
      <c r="C117" s="94"/>
      <c r="D117" s="27">
        <f>IFERROR(_xll.ECONOMATICA($C$5,"ProvPImp",,D$83,,,,$C$7,,,,IF($D$9=1,{"jtb.opcconscontr=2"},{"jtb.opcconscontr=3"})),"-")</f>
        <v>0</v>
      </c>
      <c r="E117" s="27">
        <f>IFERROR(_xll.ECONOMATICA($C$5,"ProvPImp",,E$83,,,,$C$7,,,,IF($D$9=1,{"jtb.opcconscontr=2"},{"jtb.opcconscontr=3"})),"-")</f>
        <v>0</v>
      </c>
      <c r="F117" s="29">
        <f>IFERROR(_xll.ECONOMATICA($C$5,"ProvPImp",,F$83,,,,$C$7,,,,IF($D$9=1,{"jtb.opcconscontr=2"},{"jtb.opcconscontr=3"})),"-")</f>
        <v>0</v>
      </c>
    </row>
    <row r="118" spans="2:6" ht="15" customHeight="1" outlineLevel="2">
      <c r="B118" s="91" t="s">
        <v>114</v>
      </c>
      <c r="C118" s="92"/>
      <c r="D118" s="20">
        <f>IFERROR(_xll.ECONOMATICA($C$5,"PrvSSST",,D$83,,,,$C$7,,,,IF($D$9=1,{"jtb.opcconscontr=2"},{"jtb.opcconscontr=3"})),"-")</f>
        <v>0</v>
      </c>
      <c r="E118" s="20">
        <f>IFERROR(_xll.ECONOMATICA($C$5,"PrvSSST",,E$83,,,,$C$7,,,,IF($D$9=1,{"jtb.opcconscontr=2"},{"jtb.opcconscontr=3"})),"-")</f>
        <v>0</v>
      </c>
      <c r="F118" s="16">
        <f>IFERROR(_xll.ECONOMATICA($C$5,"PrvSSST",,F$83,,,,$C$7,,,,IF($D$9=1,{"jtb.opcconscontr=2"},{"jtb.opcconscontr=3"})),"-")</f>
        <v>0</v>
      </c>
    </row>
    <row r="119" spans="2:6" ht="15" customHeight="1" outlineLevel="2">
      <c r="B119" s="93" t="s">
        <v>115</v>
      </c>
      <c r="C119" s="94"/>
      <c r="D119" s="27">
        <f>IFERROR(_xll.ECONOMATICA($C$5,"PrEmBeST",,D$83,,,,$C$7,,,,IF($D$9=1,{"jtb.opcconscontr=2"},{"jtb.opcconscontr=3"})),"-")</f>
        <v>0</v>
      </c>
      <c r="E119" s="27">
        <f>IFERROR(_xll.ECONOMATICA($C$5,"PrEmBeST",,E$83,,,,$C$7,,,,IF($D$9=1,{"jtb.opcconscontr=2"},{"jtb.opcconscontr=3"})),"-")</f>
        <v>0</v>
      </c>
      <c r="F119" s="29">
        <f>IFERROR(_xll.ECONOMATICA($C$5,"PrEmBeST",,F$83,,,,$C$7,,,,IF($D$9=1,{"jtb.opcconscontr=2"},{"jtb.opcconscontr=3"})),"-")</f>
        <v>0</v>
      </c>
    </row>
    <row r="120" spans="2:6" ht="15" customHeight="1" outlineLevel="2">
      <c r="B120" s="91" t="s">
        <v>116</v>
      </c>
      <c r="C120" s="92"/>
      <c r="D120" s="20">
        <f>IFERROR(_xll.ECONOMATICA($C$5,"ProCivCP",,D$83,,,,$C$7,,,,IF($D$9=1,{"jtb.opcconscontr=2"},{"jtb.opcconscontr=3"})),"-")</f>
        <v>0</v>
      </c>
      <c r="E120" s="20">
        <f>IFERROR(_xll.ECONOMATICA($C$5,"ProCivCP",,E$83,,,,$C$7,,,,IF($D$9=1,{"jtb.opcconscontr=2"},{"jtb.opcconscontr=3"})),"-")</f>
        <v>0</v>
      </c>
      <c r="F120" s="16">
        <f>IFERROR(_xll.ECONOMATICA($C$5,"ProCivCP",,F$83,,,,$C$7,,,,IF($D$9=1,{"jtb.opcconscontr=2"},{"jtb.opcconscontr=3"})),"-")</f>
        <v>0</v>
      </c>
    </row>
    <row r="121" spans="2:6" ht="15" customHeight="1" outlineLevel="2">
      <c r="B121" s="93" t="s">
        <v>47</v>
      </c>
      <c r="C121" s="94"/>
      <c r="D121" s="27">
        <f>IFERROR(_xll.ECONOMATICA($C$5,"OtherPSLST",,D$83,,,,$C$7,,,,IF($D$9=1,{"jtb.opcconscontr=2"},{"jtb.opcconscontr=3"})),"-")</f>
        <v>0</v>
      </c>
      <c r="E121" s="27">
        <f>IFERROR(_xll.ECONOMATICA($C$5,"OtherPSLST",,E$83,,,,$C$7,,,,IF($D$9=1,{"jtb.opcconscontr=2"},{"jtb.opcconscontr=3"})),"-")</f>
        <v>0</v>
      </c>
      <c r="F121" s="29">
        <f>IFERROR(_xll.ECONOMATICA($C$5,"OtherPSLST",,F$83,,,,$C$7,,,,IF($D$9=1,{"jtb.opcconscontr=2"},{"jtb.opcconscontr=3"})),"-")</f>
        <v>0</v>
      </c>
    </row>
    <row r="122" spans="2:6" ht="15" customHeight="1" outlineLevel="2">
      <c r="B122" s="87" t="s">
        <v>117</v>
      </c>
      <c r="C122" s="88"/>
      <c r="D122" s="20">
        <f>IFERROR(_xll.ECONOMATICA($C$5,"OtShTeProv",,D$83,,,,$C$7,,,,IF($D$9=1,{"jtb.opcconscontr=2"},{"jtb.opcconscontr=3"})),"-")</f>
        <v>3577000</v>
      </c>
      <c r="E122" s="20">
        <f>IFERROR(_xll.ECONOMATICA($C$5,"OtShTeProv",,E$83,,,,$C$7,,,,IF($D$9=1,{"jtb.opcconscontr=2"},{"jtb.opcconscontr=3"})),"-")</f>
        <v>8049000</v>
      </c>
      <c r="F122" s="16">
        <f>IFERROR(_xll.ECONOMATICA($C$5,"OtShTeProv",,F$83,,,,$C$7,,,,IF($D$9=1,{"jtb.opcconscontr=2"},{"jtb.opcconscontr=3"})),"-")</f>
        <v>3632000</v>
      </c>
    </row>
    <row r="123" spans="2:6" ht="15" customHeight="1" outlineLevel="1">
      <c r="B123" s="93" t="s">
        <v>118</v>
      </c>
      <c r="C123" s="94"/>
      <c r="D123" s="27">
        <f>IFERROR(_xll.ECONOMATICA($C$5,"PrOfGuaST",,D$83,,,,$C$7,,,,IF($D$9=1,{"jtb.opcconscontr=2"},{"jtb.opcconscontr=3"})),"-")</f>
        <v>0</v>
      </c>
      <c r="E123" s="27">
        <f>IFERROR(_xll.ECONOMATICA($C$5,"PrOfGuaST",,E$83,,,,$C$7,,,,IF($D$9=1,{"jtb.opcconscontr=2"},{"jtb.opcconscontr=3"})),"-")</f>
        <v>0</v>
      </c>
      <c r="F123" s="29">
        <f>IFERROR(_xll.ECONOMATICA($C$5,"PrOfGuaST",,F$83,,,,$C$7,,,,IF($D$9=1,{"jtb.opcconscontr=2"},{"jtb.opcconscontr=3"})),"-")</f>
        <v>0</v>
      </c>
    </row>
    <row r="124" spans="2:6" ht="15" customHeight="1" outlineLevel="1">
      <c r="B124" s="91" t="s">
        <v>119</v>
      </c>
      <c r="C124" s="92"/>
      <c r="D124" s="20">
        <f>IFERROR(_xll.ECONOMATICA($C$5,"PrReCoST",,D$83,,,,$C$7,,,,IF($D$9=1,{"jtb.opcconscontr=2"},{"jtb.opcconscontr=3"})),"-")</f>
        <v>0</v>
      </c>
      <c r="E124" s="20">
        <f>IFERROR(_xll.ECONOMATICA($C$5,"PrReCoST",,E$83,,,,$C$7,,,,IF($D$9=1,{"jtb.opcconscontr=2"},{"jtb.opcconscontr=3"})),"-")</f>
        <v>0</v>
      </c>
      <c r="F124" s="16">
        <f>IFERROR(_xll.ECONOMATICA($C$5,"PrReCoST",,F$83,,,,$C$7,,,,IF($D$9=1,{"jtb.opcconscontr=2"},{"jtb.opcconscontr=3"})),"-")</f>
        <v>0</v>
      </c>
    </row>
    <row r="125" spans="2:6" ht="15" customHeight="1" outlineLevel="1">
      <c r="B125" s="93" t="s">
        <v>120</v>
      </c>
      <c r="C125" s="94"/>
      <c r="D125" s="27">
        <f>IFERROR(_xll.ECONOMATICA($C$5,"PrPaAmCP",,D$83,,,,$C$7,,,,IF($D$9=1,{"jtb.opcconscontr=2"},{"jtb.opcconscontr=3"})),"-")</f>
        <v>0</v>
      </c>
      <c r="E125" s="27">
        <f>IFERROR(_xll.ECONOMATICA($C$5,"PrPaAmCP",,E$83,,,,$C$7,,,,IF($D$9=1,{"jtb.opcconscontr=2"},{"jtb.opcconscontr=3"})),"-")</f>
        <v>0</v>
      </c>
      <c r="F125" s="29">
        <f>IFERROR(_xll.ECONOMATICA($C$5,"PrPaAmCP",,F$83,,,,$C$7,,,,IF($D$9=1,{"jtb.opcconscontr=2"},{"jtb.opcconscontr=3"})),"-")</f>
        <v>0</v>
      </c>
    </row>
    <row r="126" spans="2:6" ht="15" customHeight="1" outlineLevel="1">
      <c r="B126" s="91" t="s">
        <v>47</v>
      </c>
      <c r="C126" s="92"/>
      <c r="D126" s="20">
        <f>IFERROR(_xll.ECONOMATICA($C$5,"OtherOSTP",,D$83,,,,$C$7,,,,IF($D$9=1,{"jtb.opcconscontr=2"},{"jtb.opcconscontr=3"})),"-")</f>
        <v>3577000</v>
      </c>
      <c r="E126" s="20">
        <f>IFERROR(_xll.ECONOMATICA($C$5,"OtherOSTP",,E$83,,,,$C$7,,,,IF($D$9=1,{"jtb.opcconscontr=2"},{"jtb.opcconscontr=3"})),"-")</f>
        <v>8049000</v>
      </c>
      <c r="F126" s="16">
        <f>IFERROR(_xll.ECONOMATICA($C$5,"OtherOSTP",,F$83,,,,$C$7,,,,IF($D$9=1,{"jtb.opcconscontr=2"},{"jtb.opcconscontr=3"})),"-")</f>
        <v>3632000</v>
      </c>
    </row>
    <row r="127" spans="2:6" ht="15" customHeight="1">
      <c r="B127" s="85" t="s">
        <v>121</v>
      </c>
      <c r="C127" s="86"/>
      <c r="D127" s="27">
        <f>IFERROR(_xll.ECONOMATICA($C$5,"NCAsDiST",,D$83,,,,$C$7,,,,IF($D$9=1,{"jtb.opcconscontr=2"},{"jtb.opcconscontr=3"})),"-")</f>
        <v>13084000</v>
      </c>
      <c r="E127" s="27">
        <f>IFERROR(_xll.ECONOMATICA($C$5,"NCAsDiST",,E$83,,,,$C$7,,,,IF($D$9=1,{"jtb.opcconscontr=2"},{"jtb.opcconscontr=3"})),"-")</f>
        <v>3559000</v>
      </c>
      <c r="F127" s="29">
        <f>IFERROR(_xll.ECONOMATICA($C$5,"NCAsDiST",,F$83,,,,$C$7,,,,IF($D$9=1,{"jtb.opcconscontr=2"},{"jtb.opcconscontr=3"})),"-")</f>
        <v>4840000</v>
      </c>
    </row>
    <row r="128" spans="2:6" ht="15" customHeight="1">
      <c r="B128" s="87" t="s">
        <v>122</v>
      </c>
      <c r="C128" s="88"/>
      <c r="D128" s="20">
        <f>IFERROR(_xll.ECONOMATICA($C$5,"NCAsLiST",,D$83,,,,$C$7,,,,IF($D$9=1,{"jtb.opcconscontr=2"},{"jtb.opcconscontr=3"})),"-")</f>
        <v>13084000</v>
      </c>
      <c r="E128" s="20">
        <f>IFERROR(_xll.ECONOMATICA($C$5,"NCAsLiST",,E$83,,,,$C$7,,,,IF($D$9=1,{"jtb.opcconscontr=2"},{"jtb.opcconscontr=3"})),"-")</f>
        <v>3559000</v>
      </c>
      <c r="F128" s="16">
        <f>IFERROR(_xll.ECONOMATICA($C$5,"NCAsLiST",,F$83,,,,$C$7,,,,IF($D$9=1,{"jtb.opcconscontr=2"},{"jtb.opcconscontr=3"})),"-")</f>
        <v>4840000</v>
      </c>
    </row>
    <row r="129" spans="2:6" ht="15" customHeight="1">
      <c r="B129" s="89" t="s">
        <v>123</v>
      </c>
      <c r="C129" s="90"/>
      <c r="D129" s="27">
        <f>IFERROR(_xll.ECONOMATICA($C$5,"PaOpDiCP",,D$83,,,,$C$7,,,,IF($D$9=1,{"jtb.opcconscontr=2"},{"jtb.opcconscontr=3"})),"-")</f>
        <v>0</v>
      </c>
      <c r="E129" s="27">
        <f>IFERROR(_xll.ECONOMATICA($C$5,"PaOpDiCP",,E$83,,,,$C$7,,,,IF($D$9=1,{"jtb.opcconscontr=2"},{"jtb.opcconscontr=3"})),"-")</f>
        <v>0</v>
      </c>
      <c r="F129" s="29">
        <f>IFERROR(_xll.ECONOMATICA($C$5,"PaOpDiCP",,F$83,,,,$C$7,,,,IF($D$9=1,{"jtb.opcconscontr=2"},{"jtb.opcconscontr=3"})),"-")</f>
        <v>0</v>
      </c>
    </row>
    <row r="130" spans="2:6" ht="15" customHeight="1">
      <c r="B130" s="87" t="s">
        <v>124</v>
      </c>
      <c r="C130" s="88"/>
      <c r="D130" s="20">
        <f>IFERROR(_xll.ECONOMATICA($C$5,"NCurLiab",,D$83,,,,$C$7,,,,IF($D$9=1,{"jtb.opcconscontr=2"},{"jtb.opcconscontr=3"})),"-")</f>
        <v>510727000</v>
      </c>
      <c r="E130" s="20">
        <f>IFERROR(_xll.ECONOMATICA($C$5,"NCurLiab",,E$83,,,,$C$7,,,,IF($D$9=1,{"jtb.opcconscontr=2"},{"jtb.opcconscontr=3"})),"-")</f>
        <v>539982000</v>
      </c>
      <c r="F130" s="16">
        <f>IFERROR(_xll.ECONOMATICA($C$5,"NCurLiab",,F$83,,,,$C$7,,,,IF($D$9=1,{"jtb.opcconscontr=2"},{"jtb.opcconscontr=3"})),"-")</f>
        <v>448457000</v>
      </c>
    </row>
    <row r="131" spans="2:6" ht="15" customHeight="1">
      <c r="B131" s="85" t="s">
        <v>125</v>
      </c>
      <c r="C131" s="86"/>
      <c r="D131" s="27">
        <f>IFERROR(_xll.ECONOMATICA($C$5,"TotDebtLT",,D$83,,,,$C$7,,,,IF($D$9=1,{"jtb.opcconscontr=2"},{"jtb.opcconscontr=3"})),"-")</f>
        <v>310022000</v>
      </c>
      <c r="E131" s="27">
        <f>IFERROR(_xll.ECONOMATICA($C$5,"TotDebtLT",,E$83,,,,$C$7,,,,IF($D$9=1,{"jtb.opcconscontr=2"},{"jtb.opcconscontr=3"})),"-")</f>
        <v>341184000</v>
      </c>
      <c r="F131" s="29">
        <f>IFERROR(_xll.ECONOMATICA($C$5,"TotDebtLT",,F$83,,,,$C$7,,,,IF($D$9=1,{"jtb.opcconscontr=2"},{"jtb.opcconscontr=3"})),"-")</f>
        <v>277187000</v>
      </c>
    </row>
    <row r="132" spans="2:6" ht="15" customHeight="1">
      <c r="B132" s="87" t="s">
        <v>126</v>
      </c>
      <c r="C132" s="88"/>
      <c r="D132" s="20">
        <f>IFERROR(_xll.ECONOMATICA($C$5,"LT Debt",,D$83,,,,$C$7,,,,IF($D$9=1,{"jtb.opcconscontr=2"},{"jtb.opcconscontr=3"})),"-")</f>
        <v>236969000</v>
      </c>
      <c r="E132" s="20">
        <f>IFERROR(_xll.ECONOMATICA($C$5,"LT Debt",,E$83,,,,$C$7,,,,IF($D$9=1,{"jtb.opcconscontr=2"},{"jtb.opcconscontr=3"})),"-")</f>
        <v>258287000</v>
      </c>
      <c r="F132" s="16">
        <f>IFERROR(_xll.ECONOMATICA($C$5,"LT Debt",,F$83,,,,$C$7,,,,IF($D$9=1,{"jtb.opcconscontr=2"},{"jtb.opcconscontr=3"})),"-")</f>
        <v>178908000</v>
      </c>
    </row>
    <row r="133" spans="2:6" ht="15" customHeight="1">
      <c r="B133" s="93" t="s">
        <v>127</v>
      </c>
      <c r="C133" s="94"/>
      <c r="D133" s="27" t="str">
        <f>IFERROR(_xll.ECONOMATICA($C$5,"DbLocCurLT",,D$83,,,,$C$7,,,,IF($D$9=1,{"jtb.opcconscontr=2"},{"jtb.opcconscontr=3"})),"-")</f>
        <v>-</v>
      </c>
      <c r="E133" s="27" t="str">
        <f>IFERROR(_xll.ECONOMATICA($C$5,"DbLocCurLT",,E$83,,,,$C$7,,,,IF($D$9=1,{"jtb.opcconscontr=2"},{"jtb.opcconscontr=3"})),"-")</f>
        <v>-</v>
      </c>
      <c r="F133" s="29" t="str">
        <f>IFERROR(_xll.ECONOMATICA($C$5,"DbLocCurLT",,F$83,,,,$C$7,,,,IF($D$9=1,{"jtb.opcconscontr=2"},{"jtb.opcconscontr=3"})),"-")</f>
        <v>-</v>
      </c>
    </row>
    <row r="134" spans="2:6" ht="15" customHeight="1">
      <c r="B134" s="91" t="s">
        <v>128</v>
      </c>
      <c r="C134" s="92"/>
      <c r="D134" s="20" t="str">
        <f>IFERROR(_xll.ECONOMATICA($C$5,"DebForCurLT",,D$83,,,,$C$7,,,,IF($D$9=1,{"jtb.opcconscontr=2"},{"jtb.opcconscontr=3"})),"-")</f>
        <v>-</v>
      </c>
      <c r="E134" s="20" t="str">
        <f>IFERROR(_xll.ECONOMATICA($C$5,"DebForCurLT",,E$83,,,,$C$7,,,,IF($D$9=1,{"jtb.opcconscontr=2"},{"jtb.opcconscontr=3"})),"-")</f>
        <v>-</v>
      </c>
      <c r="F134" s="16" t="str">
        <f>IFERROR(_xll.ECONOMATICA($C$5,"DebForCurLT",,F$83,,,,$C$7,,,,IF($D$9=1,{"jtb.opcconscontr=2"},{"jtb.opcconscontr=3"})),"-")</f>
        <v>-</v>
      </c>
    </row>
    <row r="135" spans="2:6" ht="15" customHeight="1">
      <c r="B135" s="89" t="s">
        <v>129</v>
      </c>
      <c r="C135" s="90"/>
      <c r="D135" s="27">
        <f>IFERROR(_xll.ECONOMATICA($C$5,"LT Total Bonds",,D$83,,,,$C$7,,,,IF($D$9=1,{"jtb.opcconscontr=2"},{"jtb.opcconscontr=3"})),"-")</f>
        <v>0</v>
      </c>
      <c r="E135" s="27">
        <f>IFERROR(_xll.ECONOMATICA($C$5,"LT Total Bonds",,E$83,,,,$C$7,,,,IF($D$9=1,{"jtb.opcconscontr=2"},{"jtb.opcconscontr=3"})),"-")</f>
        <v>0</v>
      </c>
      <c r="F135" s="29">
        <f>IFERROR(_xll.ECONOMATICA($C$5,"LT Total Bonds",,F$83,,,,$C$7,,,,IF($D$9=1,{"jtb.opcconscontr=2"},{"jtb.opcconscontr=3"})),"-")</f>
        <v>0</v>
      </c>
    </row>
    <row r="136" spans="2:6" ht="15" customHeight="1">
      <c r="B136" s="87" t="s">
        <v>130</v>
      </c>
      <c r="C136" s="88"/>
      <c r="D136" s="20">
        <f>IFERROR(_xll.ECONOMATICA($C$5,"Fin Lease LT",,D$83,,,,$C$7,,,,IF($D$9=1,{"jtb.opcconscontr=2"},{"jtb.opcconscontr=3"})),"-")</f>
        <v>73053000</v>
      </c>
      <c r="E136" s="20">
        <f>IFERROR(_xll.ECONOMATICA($C$5,"Fin Lease LT",,E$83,,,,$C$7,,,,IF($D$9=1,{"jtb.opcconscontr=2"},{"jtb.opcconscontr=3"})),"-")</f>
        <v>82897000</v>
      </c>
      <c r="F136" s="16">
        <f>IFERROR(_xll.ECONOMATICA($C$5,"Fin Lease LT",,F$83,,,,$C$7,,,,IF($D$9=1,{"jtb.opcconscontr=2"},{"jtb.opcconscontr=3"})),"-")</f>
        <v>98279000</v>
      </c>
    </row>
    <row r="137" spans="2:6" ht="15" customHeight="1">
      <c r="B137" s="85" t="s">
        <v>131</v>
      </c>
      <c r="C137" s="86"/>
      <c r="D137" s="27">
        <f>IFERROR(_xll.ECONOMATICA($C$5,"OtherOblig",,D$83,,,,$C$7,,,,IF($D$9=1,{"jtb.opcconscontr=2"},{"jtb.opcconscontr=3"})),"-")</f>
        <v>2031000</v>
      </c>
      <c r="E137" s="27">
        <f>IFERROR(_xll.ECONOMATICA($C$5,"OtherOblig",,E$83,,,,$C$7,,,,IF($D$9=1,{"jtb.opcconscontr=2"},{"jtb.opcconscontr=3"})),"-")</f>
        <v>1853000</v>
      </c>
      <c r="F137" s="29">
        <f>IFERROR(_xll.ECONOMATICA($C$5,"OtherOblig",,F$83,,,,$C$7,,,,IF($D$9=1,{"jtb.opcconscontr=2"},{"jtb.opcconscontr=3"})),"-")</f>
        <v>1676000</v>
      </c>
    </row>
    <row r="138" spans="2:6" ht="15" customHeight="1">
      <c r="B138" s="87" t="s">
        <v>132</v>
      </c>
      <c r="C138" s="88"/>
      <c r="D138" s="20">
        <f>IFERROR(_xll.ECONOMATICA($C$5,"RePaLiaLT",,D$83,,,,$C$7,,,,IF($D$9=1,{"jtb.opcconscontr=2"},{"jtb.opcconscontr=3"})),"-")</f>
        <v>0</v>
      </c>
      <c r="E138" s="20">
        <f>IFERROR(_xll.ECONOMATICA($C$5,"RePaLiaLT",,E$83,,,,$C$7,,,,IF($D$9=1,{"jtb.opcconscontr=2"},{"jtb.opcconscontr=3"})),"-")</f>
        <v>0</v>
      </c>
      <c r="F138" s="16">
        <f>IFERROR(_xll.ECONOMATICA($C$5,"RePaLiaLT",,F$83,,,,$C$7,,,,IF($D$9=1,{"jtb.opcconscontr=2"},{"jtb.opcconscontr=3"})),"-")</f>
        <v>0</v>
      </c>
    </row>
    <row r="139" spans="2:6" ht="15" customHeight="1">
      <c r="B139" s="93" t="s">
        <v>133</v>
      </c>
      <c r="C139" s="94"/>
      <c r="D139" s="27">
        <f>IFERROR(_xll.ECONOMATICA($C$5,"DueAsCoLT",,D$83,,,,$C$7,,,,IF($D$9=1,{"jtb.opcconscontr=2"},{"jtb.opcconscontr=3"})),"-")</f>
        <v>0</v>
      </c>
      <c r="E139" s="27">
        <f>IFERROR(_xll.ECONOMATICA($C$5,"DueAsCoLT",,E$83,,,,$C$7,,,,IF($D$9=1,{"jtb.opcconscontr=2"},{"jtb.opcconscontr=3"})),"-")</f>
        <v>0</v>
      </c>
      <c r="F139" s="29">
        <f>IFERROR(_xll.ECONOMATICA($C$5,"DueAsCoLT",,F$83,,,,$C$7,,,,IF($D$9=1,{"jtb.opcconscontr=2"},{"jtb.opcconscontr=3"})),"-")</f>
        <v>0</v>
      </c>
    </row>
    <row r="140" spans="2:6" ht="15" customHeight="1">
      <c r="B140" s="91" t="s">
        <v>134</v>
      </c>
      <c r="C140" s="92"/>
      <c r="D140" s="20">
        <f>IFERROR(_xll.ECONOMATICA($C$5,"DueSubLT",,D$83,,,,$C$7,,,,IF($D$9=1,{"jtb.opcconscontr=2"},{"jtb.opcconscontr=3"})),"-")</f>
        <v>0</v>
      </c>
      <c r="E140" s="20">
        <f>IFERROR(_xll.ECONOMATICA($C$5,"DueSubLT",,E$83,,,,$C$7,,,,IF($D$9=1,{"jtb.opcconscontr=2"},{"jtb.opcconscontr=3"})),"-")</f>
        <v>0</v>
      </c>
      <c r="F140" s="16">
        <f>IFERROR(_xll.ECONOMATICA($C$5,"DueSubLT",,F$83,,,,$C$7,,,,IF($D$9=1,{"jtb.opcconscontr=2"},{"jtb.opcconscontr=3"})),"-")</f>
        <v>0</v>
      </c>
    </row>
    <row r="141" spans="2:6" ht="15" customHeight="1">
      <c r="B141" s="93" t="s">
        <v>135</v>
      </c>
      <c r="C141" s="94"/>
      <c r="D141" s="27">
        <f>IFERROR(_xll.ECONOMATICA($C$5,"DuePaCoLT",,D$83,,,,$C$7,,,,IF($D$9=1,{"jtb.opcconscontr=2"},{"jtb.opcconscontr=3"})),"-")</f>
        <v>0</v>
      </c>
      <c r="E141" s="27">
        <f>IFERROR(_xll.ECONOMATICA($C$5,"DuePaCoLT",,E$83,,,,$C$7,,,,IF($D$9=1,{"jtb.opcconscontr=2"},{"jtb.opcconscontr=3"})),"-")</f>
        <v>0</v>
      </c>
      <c r="F141" s="29">
        <f>IFERROR(_xll.ECONOMATICA($C$5,"DuePaCoLT",,F$83,,,,$C$7,,,,IF($D$9=1,{"jtb.opcconscontr=2"},{"jtb.opcconscontr=3"})),"-")</f>
        <v>0</v>
      </c>
    </row>
    <row r="142" spans="2:6" ht="15" customHeight="1">
      <c r="B142" s="91" t="s">
        <v>136</v>
      </c>
      <c r="C142" s="92"/>
      <c r="D142" s="20">
        <f>IFERROR(_xll.ECONOMATICA($C$5,"OtRePaLT",,D$83,,,,$C$7,,,,IF($D$9=1,{"jtb.opcconscontr=2"},{"jtb.opcconscontr=3"})),"-")</f>
        <v>0</v>
      </c>
      <c r="E142" s="20">
        <f>IFERROR(_xll.ECONOMATICA($C$5,"OtRePaLT",,E$83,,,,$C$7,,,,IF($D$9=1,{"jtb.opcconscontr=2"},{"jtb.opcconscontr=3"})),"-")</f>
        <v>0</v>
      </c>
      <c r="F142" s="16">
        <f>IFERROR(_xll.ECONOMATICA($C$5,"OtRePaLT",,F$83,,,,$C$7,,,,IF($D$9=1,{"jtb.opcconscontr=2"},{"jtb.opcconscontr=3"})),"-")</f>
        <v>0</v>
      </c>
    </row>
    <row r="143" spans="2:6" ht="15" customHeight="1">
      <c r="B143" s="89" t="s">
        <v>137</v>
      </c>
      <c r="C143" s="90"/>
      <c r="D143" s="27">
        <f>IFERROR(_xll.ECONOMATICA($C$5,"OthLT",,D$83,,,,$C$7,,,,IF($D$9=1,{"jtb.opcconscontr=2"},{"jtb.opcconscontr=3"})),"-")</f>
        <v>2031000</v>
      </c>
      <c r="E143" s="27">
        <f>IFERROR(_xll.ECONOMATICA($C$5,"OthLT",,E$83,,,,$C$7,,,,IF($D$9=1,{"jtb.opcconscontr=2"},{"jtb.opcconscontr=3"})),"-")</f>
        <v>1853000</v>
      </c>
      <c r="F143" s="29">
        <f>IFERROR(_xll.ECONOMATICA($C$5,"OthLT",,F$83,,,,$C$7,,,,IF($D$9=1,{"jtb.opcconscontr=2"},{"jtb.opcconscontr=3"})),"-")</f>
        <v>1676000</v>
      </c>
    </row>
    <row r="144" spans="2:6" ht="15" customHeight="1">
      <c r="B144" s="91" t="s">
        <v>138</v>
      </c>
      <c r="C144" s="92"/>
      <c r="D144" s="20">
        <f>IFERROR(_xll.ECONOMATICA($C$5,"ShBaPaLT",,D$83,,,,$C$7,,,,IF($D$9=1,{"jtb.opcconscontr=2"},{"jtb.opcconscontr=3"})),"-")</f>
        <v>0</v>
      </c>
      <c r="E144" s="20">
        <f>IFERROR(_xll.ECONOMATICA($C$5,"ShBaPaLT",,E$83,,,,$C$7,,,,IF($D$9=1,{"jtb.opcconscontr=2"},{"jtb.opcconscontr=3"})),"-")</f>
        <v>0</v>
      </c>
      <c r="F144" s="16">
        <f>IFERROR(_xll.ECONOMATICA($C$5,"ShBaPaLT",,F$83,,,,$C$7,,,,IF($D$9=1,{"jtb.opcconscontr=2"},{"jtb.opcconscontr=3"})),"-")</f>
        <v>0</v>
      </c>
    </row>
    <row r="145" spans="2:6" ht="15" customHeight="1">
      <c r="B145" s="93" t="s">
        <v>139</v>
      </c>
      <c r="C145" s="94"/>
      <c r="D145" s="27">
        <f>IFERROR(_xll.ECONOMATICA($C$5,"FuCaInLia",,D$83,,,,$C$7,,,,IF($D$9=1,{"jtb.opcconscontr=2"},{"jtb.opcconscontr=3"})),"-")</f>
        <v>0</v>
      </c>
      <c r="E145" s="27">
        <f>IFERROR(_xll.ECONOMATICA($C$5,"FuCaInLia",,E$83,,,,$C$7,,,,IF($D$9=1,{"jtb.opcconscontr=2"},{"jtb.opcconscontr=3"})),"-")</f>
        <v>0</v>
      </c>
      <c r="F145" s="29">
        <f>IFERROR(_xll.ECONOMATICA($C$5,"FuCaInLia",,F$83,,,,$C$7,,,,IF($D$9=1,{"jtb.opcconscontr=2"},{"jtb.opcconscontr=3"})),"-")</f>
        <v>0</v>
      </c>
    </row>
    <row r="146" spans="2:6" ht="15" customHeight="1">
      <c r="B146" s="91" t="s">
        <v>47</v>
      </c>
      <c r="C146" s="92"/>
      <c r="D146" s="20">
        <f>IFERROR(_xll.ECONOMATICA($C$5,"OtherOLT",,D$83,,,,$C$7,,,,IF($D$9=1,{"jtb.opcconscontr=2"},{"jtb.opcconscontr=3"})),"-")</f>
        <v>2031000</v>
      </c>
      <c r="E146" s="20">
        <f>IFERROR(_xll.ECONOMATICA($C$5,"OtherOLT",,E$83,,,,$C$7,,,,IF($D$9=1,{"jtb.opcconscontr=2"},{"jtb.opcconscontr=3"})),"-")</f>
        <v>1853000</v>
      </c>
      <c r="F146" s="16">
        <f>IFERROR(_xll.ECONOMATICA($C$5,"OtherOLT",,F$83,,,,$C$7,,,,IF($D$9=1,{"jtb.opcconscontr=2"},{"jtb.opcconscontr=3"})),"-")</f>
        <v>1676000</v>
      </c>
    </row>
    <row r="147" spans="2:6" ht="15" customHeight="1">
      <c r="B147" s="85" t="s">
        <v>140</v>
      </c>
      <c r="C147" s="86"/>
      <c r="D147" s="27">
        <f>IFERROR(_xll.ECONOMATICA($C$5,"ImpDifLP",,D$83,,,,$C$7,,,,IF($D$9=1,{"jtb.opcconscontr=2"},{"jtb.opcconscontr=3"})),"-")</f>
        <v>7095000</v>
      </c>
      <c r="E147" s="27">
        <f>IFERROR(_xll.ECONOMATICA($C$5,"ImpDifLP",,E$83,,,,$C$7,,,,IF($D$9=1,{"jtb.opcconscontr=2"},{"jtb.opcconscontr=3"})),"-")</f>
        <v>1015000</v>
      </c>
      <c r="F147" s="29">
        <f>IFERROR(_xll.ECONOMATICA($C$5,"ImpDifLP",,F$83,,,,$C$7,,,,IF($D$9=1,{"jtb.opcconscontr=2"},{"jtb.opcconscontr=3"})),"-")</f>
        <v>6857000</v>
      </c>
    </row>
    <row r="148" spans="2:6" ht="15" customHeight="1">
      <c r="B148" s="87" t="s">
        <v>141</v>
      </c>
      <c r="C148" s="88"/>
      <c r="D148" s="20">
        <f>IFERROR(_xll.ECONOMATICA($C$5,"DefIT&amp;SC",,D$83,,,,$C$7,,,,IF($D$9=1,{"jtb.opcconscontr=2"},{"jtb.opcconscontr=3"})),"-")</f>
        <v>7095000</v>
      </c>
      <c r="E148" s="20">
        <f>IFERROR(_xll.ECONOMATICA($C$5,"DefIT&amp;SC",,E$83,,,,$C$7,,,,IF($D$9=1,{"jtb.opcconscontr=2"},{"jtb.opcconscontr=3"})),"-")</f>
        <v>1015000</v>
      </c>
      <c r="F148" s="16">
        <f>IFERROR(_xll.ECONOMATICA($C$5,"DefIT&amp;SC",,F$83,,,,$C$7,,,,IF($D$9=1,{"jtb.opcconscontr=2"},{"jtb.opcconscontr=3"})),"-")</f>
        <v>6857000</v>
      </c>
    </row>
    <row r="149" spans="2:6" ht="15" customHeight="1">
      <c r="B149" s="85" t="s">
        <v>142</v>
      </c>
      <c r="C149" s="86"/>
      <c r="D149" s="27">
        <f>IFERROR(_xll.ECONOMATICA($C$5,"LT Provis",,D$83,,,,$C$7,,,,IF($D$9=1,{"jtb.opcconscontr=2"},{"jtb.opcconscontr=3"})),"-")</f>
        <v>191579000</v>
      </c>
      <c r="E149" s="27">
        <f>IFERROR(_xll.ECONOMATICA($C$5,"LT Provis",,E$83,,,,$C$7,,,,IF($D$9=1,{"jtb.opcconscontr=2"},{"jtb.opcconscontr=3"})),"-")</f>
        <v>195930000</v>
      </c>
      <c r="F149" s="29">
        <f>IFERROR(_xll.ECONOMATICA($C$5,"LT Provis",,F$83,,,,$C$7,,,,IF($D$9=1,{"jtb.opcconscontr=2"},{"jtb.opcconscontr=3"})),"-")</f>
        <v>162737000</v>
      </c>
    </row>
    <row r="150" spans="2:6" ht="15" customHeight="1">
      <c r="B150" s="87" t="s">
        <v>143</v>
      </c>
      <c r="C150" s="88"/>
      <c r="D150" s="20">
        <f>IFERROR(_xll.ECONOMATICA($C$5,"PrTxSSLP",,D$83,,,,$C$7,,,,IF($D$9=1,{"jtb.opcconscontr=2"},{"jtb.opcconscontr=3"})),"-")</f>
        <v>12546000</v>
      </c>
      <c r="E150" s="20">
        <f>IFERROR(_xll.ECONOMATICA($C$5,"PrTxSSLP",,E$83,,,,$C$7,,,,IF($D$9=1,{"jtb.opcconscontr=2"},{"jtb.opcconscontr=3"})),"-")</f>
        <v>11427000</v>
      </c>
      <c r="F150" s="16">
        <f>IFERROR(_xll.ECONOMATICA($C$5,"PrTxSSLP",,F$83,,,,$C$7,,,,IF($D$9=1,{"jtb.opcconscontr=2"},{"jtb.opcconscontr=3"})),"-")</f>
        <v>11263000</v>
      </c>
    </row>
    <row r="151" spans="2:6" ht="15" customHeight="1">
      <c r="B151" s="93" t="s">
        <v>144</v>
      </c>
      <c r="C151" s="94"/>
      <c r="D151" s="27" t="str">
        <f>IFERROR(_xll.ECONOMATICA($C$5,"ProvPTribLP",,D$83,,,,$C$7,,,,IF($D$9=1,{"jtb.opcconscontr=2"},{"jtb.opcconscontr=3"})),"-")</f>
        <v>-</v>
      </c>
      <c r="E151" s="27" t="str">
        <f>IFERROR(_xll.ECONOMATICA($C$5,"ProvPTribLP",,E$83,,,,$C$7,,,,IF($D$9=1,{"jtb.opcconscontr=2"},{"jtb.opcconscontr=3"})),"-")</f>
        <v>-</v>
      </c>
      <c r="F151" s="29" t="str">
        <f>IFERROR(_xll.ECONOMATICA($C$5,"ProvPTribLP",,F$83,,,,$C$7,,,,IF($D$9=1,{"jtb.opcconscontr=2"},{"jtb.opcconscontr=3"})),"-")</f>
        <v>-</v>
      </c>
    </row>
    <row r="152" spans="2:6" ht="15" customHeight="1">
      <c r="B152" s="91" t="s">
        <v>145</v>
      </c>
      <c r="C152" s="92"/>
      <c r="D152" s="20" t="str">
        <f>IFERROR(_xll.ECONOMATICA($C$5,"PrvSSLT",,D$83,,,,$C$7,,,,IF($D$9=1,{"jtb.opcconscontr=2"},{"jtb.opcconscontr=3"})),"-")</f>
        <v>-</v>
      </c>
      <c r="E152" s="20" t="str">
        <f>IFERROR(_xll.ECONOMATICA($C$5,"PrvSSLT",,E$83,,,,$C$7,,,,IF($D$9=1,{"jtb.opcconscontr=2"},{"jtb.opcconscontr=3"})),"-")</f>
        <v>-</v>
      </c>
      <c r="F152" s="16" t="str">
        <f>IFERROR(_xll.ECONOMATICA($C$5,"PrvSSLT",,F$83,,,,$C$7,,,,IF($D$9=1,{"jtb.opcconscontr=2"},{"jtb.opcconscontr=3"})),"-")</f>
        <v>-</v>
      </c>
    </row>
    <row r="153" spans="2:6" ht="15" customHeight="1">
      <c r="B153" s="93" t="s">
        <v>146</v>
      </c>
      <c r="C153" s="94"/>
      <c r="D153" s="27" t="str">
        <f>IFERROR(_xll.ECONOMATICA($C$5,"NCPrEmBe",,D$83,,,,$C$7,,,,IF($D$9=1,{"jtb.opcconscontr=2"},{"jtb.opcconscontr=3"})),"-")</f>
        <v>-</v>
      </c>
      <c r="E153" s="27" t="str">
        <f>IFERROR(_xll.ECONOMATICA($C$5,"NCPrEmBe",,E$83,,,,$C$7,,,,IF($D$9=1,{"jtb.opcconscontr=2"},{"jtb.opcconscontr=3"})),"-")</f>
        <v>-</v>
      </c>
      <c r="F153" s="29" t="str">
        <f>IFERROR(_xll.ECONOMATICA($C$5,"NCPrEmBe",,F$83,,,,$C$7,,,,IF($D$9=1,{"jtb.opcconscontr=2"},{"jtb.opcconscontr=3"})),"-")</f>
        <v>-</v>
      </c>
    </row>
    <row r="154" spans="2:6" ht="15" customHeight="1">
      <c r="B154" s="91" t="s">
        <v>147</v>
      </c>
      <c r="C154" s="92"/>
      <c r="D154" s="20" t="str">
        <f>IFERROR(_xll.ECONOMATICA($C$5,"ProCivLP",,D$83,,,,$C$7,,,,IF($D$9=1,{"jtb.opcconscontr=2"},{"jtb.opcconscontr=3"})),"-")</f>
        <v>-</v>
      </c>
      <c r="E154" s="20" t="str">
        <f>IFERROR(_xll.ECONOMATICA($C$5,"ProCivLP",,E$83,,,,$C$7,,,,IF($D$9=1,{"jtb.opcconscontr=2"},{"jtb.opcconscontr=3"})),"-")</f>
        <v>-</v>
      </c>
      <c r="F154" s="16" t="str">
        <f>IFERROR(_xll.ECONOMATICA($C$5,"ProCivLP",,F$83,,,,$C$7,,,,IF($D$9=1,{"jtb.opcconscontr=2"},{"jtb.opcconscontr=3"})),"-")</f>
        <v>-</v>
      </c>
    </row>
    <row r="155" spans="2:6" ht="15" customHeight="1">
      <c r="B155" s="93" t="s">
        <v>47</v>
      </c>
      <c r="C155" s="94"/>
      <c r="D155" s="27" t="str">
        <f>IFERROR(_xll.ECONOMATICA($C$5,"OtherPSLLT",,D$83,,,,$C$7,,,,IF($D$9=1,{"jtb.opcconscontr=2"},{"jtb.opcconscontr=3"})),"-")</f>
        <v>-</v>
      </c>
      <c r="E155" s="27" t="str">
        <f>IFERROR(_xll.ECONOMATICA($C$5,"OtherPSLLT",,E$83,,,,$C$7,,,,IF($D$9=1,{"jtb.opcconscontr=2"},{"jtb.opcconscontr=3"})),"-")</f>
        <v>-</v>
      </c>
      <c r="F155" s="29" t="str">
        <f>IFERROR(_xll.ECONOMATICA($C$5,"OtherPSLLT",,F$83,,,,$C$7,,,,IF($D$9=1,{"jtb.opcconscontr=2"},{"jtb.opcconscontr=3"})),"-")</f>
        <v>-</v>
      </c>
    </row>
    <row r="156" spans="2:6" ht="15" customHeight="1">
      <c r="B156" s="87" t="s">
        <v>148</v>
      </c>
      <c r="C156" s="88"/>
      <c r="D156" s="20">
        <f>IFERROR(_xll.ECONOMATICA($C$5,"OtLoTePro",,D$83,,,,$C$7,,,,IF($D$9=1,{"jtb.opcconscontr=2"},{"jtb.opcconscontr=3"})),"-")</f>
        <v>179033000</v>
      </c>
      <c r="E156" s="20">
        <f>IFERROR(_xll.ECONOMATICA($C$5,"OtLoTePro",,E$83,,,,$C$7,,,,IF($D$9=1,{"jtb.opcconscontr=2"},{"jtb.opcconscontr=3"})),"-")</f>
        <v>184503000</v>
      </c>
      <c r="F156" s="16">
        <f>IFERROR(_xll.ECONOMATICA($C$5,"OtLoTePro",,F$83,,,,$C$7,,,,IF($D$9=1,{"jtb.opcconscontr=2"},{"jtb.opcconscontr=3"})),"-")</f>
        <v>151474000</v>
      </c>
    </row>
    <row r="157" spans="2:6" ht="15" customHeight="1">
      <c r="B157" s="93" t="s">
        <v>149</v>
      </c>
      <c r="C157" s="94"/>
      <c r="D157" s="27">
        <f>IFERROR(_xll.ECONOMATICA($C$5,"PrOfGuaLT",,D$83,,,,$C$7,,,,IF($D$9=1,{"jtb.opcconscontr=2"},{"jtb.opcconscontr=3"})),"-")</f>
        <v>0</v>
      </c>
      <c r="E157" s="27">
        <f>IFERROR(_xll.ECONOMATICA($C$5,"PrOfGuaLT",,E$83,,,,$C$7,,,,IF($D$9=1,{"jtb.opcconscontr=2"},{"jtb.opcconscontr=3"})),"-")</f>
        <v>0</v>
      </c>
      <c r="F157" s="29">
        <f>IFERROR(_xll.ECONOMATICA($C$5,"PrOfGuaLT",,F$83,,,,$C$7,,,,IF($D$9=1,{"jtb.opcconscontr=2"},{"jtb.opcconscontr=3"})),"-")</f>
        <v>0</v>
      </c>
    </row>
    <row r="158" spans="2:6" ht="15" customHeight="1">
      <c r="B158" s="91" t="s">
        <v>150</v>
      </c>
      <c r="C158" s="92"/>
      <c r="D158" s="20">
        <f>IFERROR(_xll.ECONOMATICA($C$5,"PrReCoLP",,D$83,,,,$C$7,,,,IF($D$9=1,{"jtb.opcconscontr=2"},{"jtb.opcconscontr=3"})),"-")</f>
        <v>0</v>
      </c>
      <c r="E158" s="20">
        <f>IFERROR(_xll.ECONOMATICA($C$5,"PrReCoLP",,E$83,,,,$C$7,,,,IF($D$9=1,{"jtb.opcconscontr=2"},{"jtb.opcconscontr=3"})),"-")</f>
        <v>0</v>
      </c>
      <c r="F158" s="16">
        <f>IFERROR(_xll.ECONOMATICA($C$5,"PrReCoLP",,F$83,,,,$C$7,,,,IF($D$9=1,{"jtb.opcconscontr=2"},{"jtb.opcconscontr=3"})),"-")</f>
        <v>0</v>
      </c>
    </row>
    <row r="159" spans="2:6" ht="15" customHeight="1">
      <c r="B159" s="93" t="s">
        <v>151</v>
      </c>
      <c r="C159" s="94"/>
      <c r="D159" s="27">
        <f>IFERROR(_xll.ECONOMATICA($C$5,"PrPaAmLP",,D$83,,,,$C$7,,,,IF($D$9=1,{"jtb.opcconscontr=2"},{"jtb.opcconscontr=3"})),"-")</f>
        <v>0</v>
      </c>
      <c r="E159" s="27">
        <f>IFERROR(_xll.ECONOMATICA($C$5,"PrPaAmLP",,E$83,,,,$C$7,,,,IF($D$9=1,{"jtb.opcconscontr=2"},{"jtb.opcconscontr=3"})),"-")</f>
        <v>0</v>
      </c>
      <c r="F159" s="29">
        <f>IFERROR(_xll.ECONOMATICA($C$5,"PrPaAmLP",,F$83,,,,$C$7,,,,IF($D$9=1,{"jtb.opcconscontr=2"},{"jtb.opcconscontr=3"})),"-")</f>
        <v>0</v>
      </c>
    </row>
    <row r="160" spans="2:6" ht="15" customHeight="1">
      <c r="B160" s="91" t="s">
        <v>47</v>
      </c>
      <c r="C160" s="92"/>
      <c r="D160" s="20">
        <f>IFERROR(_xll.ECONOMATICA($C$5,"OtherOLTP",,D$83,,,,$C$7,,,,IF($D$9=1,{"jtb.opcconscontr=2"},{"jtb.opcconscontr=3"})),"-")</f>
        <v>179033000</v>
      </c>
      <c r="E160" s="20">
        <f>IFERROR(_xll.ECONOMATICA($C$5,"OtherOLTP",,E$83,,,,$C$7,,,,IF($D$9=1,{"jtb.opcconscontr=2"},{"jtb.opcconscontr=3"})),"-")</f>
        <v>184503000</v>
      </c>
      <c r="F160" s="16">
        <f>IFERROR(_xll.ECONOMATICA($C$5,"OtherOLTP",,F$83,,,,$C$7,,,,IF($D$9=1,{"jtb.opcconscontr=2"},{"jtb.opcconscontr=3"})),"-")</f>
        <v>151474000</v>
      </c>
    </row>
    <row r="161" spans="2:6" ht="15" customHeight="1">
      <c r="B161" s="85" t="s">
        <v>152</v>
      </c>
      <c r="C161" s="86"/>
      <c r="D161" s="27">
        <f>IFERROR(_xll.ECONOMATICA($C$5,"NCAsDiLT",,D$83,,,,$C$7,,,,IF($D$9=1,{"jtb.opcconscontr=2"},{"jtb.opcconscontr=3"})),"-")</f>
        <v>0</v>
      </c>
      <c r="E161" s="27">
        <f>IFERROR(_xll.ECONOMATICA($C$5,"NCAsDiLT",,E$83,,,,$C$7,,,,IF($D$9=1,{"jtb.opcconscontr=2"},{"jtb.opcconscontr=3"})),"-")</f>
        <v>0</v>
      </c>
      <c r="F161" s="29">
        <f>IFERROR(_xll.ECONOMATICA($C$5,"NCAsDiLT",,F$83,,,,$C$7,,,,IF($D$9=1,{"jtb.opcconscontr=2"},{"jtb.opcconscontr=3"})),"-")</f>
        <v>0</v>
      </c>
    </row>
    <row r="162" spans="2:6" ht="15" customHeight="1">
      <c r="B162" s="87" t="s">
        <v>153</v>
      </c>
      <c r="C162" s="88"/>
      <c r="D162" s="20">
        <f>IFERROR(_xll.ECONOMATICA($C$5,"NCAsLiLT",,D$83,,,,$C$7,,,,IF($D$9=1,{"jtb.opcconscontr=2"},{"jtb.opcconscontr=3"})),"-")</f>
        <v>0</v>
      </c>
      <c r="E162" s="20">
        <f>IFERROR(_xll.ECONOMATICA($C$5,"NCAsLiLT",,E$83,,,,$C$7,,,,IF($D$9=1,{"jtb.opcconscontr=2"},{"jtb.opcconscontr=3"})),"-")</f>
        <v>0</v>
      </c>
      <c r="F162" s="16">
        <f>IFERROR(_xll.ECONOMATICA($C$5,"NCAsLiLT",,F$83,,,,$C$7,,,,IF($D$9=1,{"jtb.opcconscontr=2"},{"jtb.opcconscontr=3"})),"-")</f>
        <v>0</v>
      </c>
    </row>
    <row r="163" spans="2:6" ht="15" customHeight="1">
      <c r="B163" s="89" t="s">
        <v>154</v>
      </c>
      <c r="C163" s="90"/>
      <c r="D163" s="27">
        <f>IFERROR(_xll.ECONOMATICA($C$5,"PaOpDiLP",,D$83,,,,$C$7,,,,IF($D$9=1,{"jtb.opcconscontr=2"},{"jtb.opcconscontr=3"})),"-")</f>
        <v>0</v>
      </c>
      <c r="E163" s="27">
        <f>IFERROR(_xll.ECONOMATICA($C$5,"PaOpDiLP",,E$83,,,,$C$7,,,,IF($D$9=1,{"jtb.opcconscontr=2"},{"jtb.opcconscontr=3"})),"-")</f>
        <v>0</v>
      </c>
      <c r="F163" s="29">
        <f>IFERROR(_xll.ECONOMATICA($C$5,"PaOpDiLP",,F$83,,,,$C$7,,,,IF($D$9=1,{"jtb.opcconscontr=2"},{"jtb.opcconscontr=3"})),"-")</f>
        <v>0</v>
      </c>
    </row>
    <row r="164" spans="2:6" ht="15" customHeight="1">
      <c r="B164" s="83" t="s">
        <v>155</v>
      </c>
      <c r="C164" s="84"/>
      <c r="D164" s="20">
        <f>IFERROR(_xll.ECONOMATICA($C$5,"UnRe/Pr",,D$83,,,,$C$7,,,,IF($D$9=1,{"jtb.opcconscontr=2"},{"jtb.opcconscontr=3"})),"-")</f>
        <v>0</v>
      </c>
      <c r="E164" s="20">
        <f>IFERROR(_xll.ECONOMATICA($C$5,"UnRe/Pr",,E$83,,,,$C$7,,,,IF($D$9=1,{"jtb.opcconscontr=2"},{"jtb.opcconscontr=3"})),"-")</f>
        <v>0</v>
      </c>
      <c r="F164" s="16">
        <f>IFERROR(_xll.ECONOMATICA($C$5,"UnRe/Pr",,F$83,,,,$C$7,,,,IF($D$9=1,{"jtb.opcconscontr=2"},{"jtb.opcconscontr=3"})),"-")</f>
        <v>0</v>
      </c>
    </row>
    <row r="165" spans="2:6" ht="15" customHeight="1">
      <c r="B165" s="89" t="s">
        <v>156</v>
      </c>
      <c r="C165" s="90"/>
      <c r="D165" s="27">
        <f>IFERROR(_xll.ECONOMATICA($C$5,"UnProf",,D$83,,,,$C$7,,,,IF($D$9=1,{"jtb.opcconscontr=2"},{"jtb.opcconscontr=3"})),"-")</f>
        <v>0</v>
      </c>
      <c r="E165" s="27">
        <f>IFERROR(_xll.ECONOMATICA($C$5,"UnProf",,E$83,,,,$C$7,,,,IF($D$9=1,{"jtb.opcconscontr=2"},{"jtb.opcconscontr=3"})),"-")</f>
        <v>0</v>
      </c>
      <c r="F165" s="29">
        <f>IFERROR(_xll.ECONOMATICA($C$5,"UnProf",,F$83,,,,$C$7,,,,IF($D$9=1,{"jtb.opcconscontr=2"},{"jtb.opcconscontr=3"})),"-")</f>
        <v>0</v>
      </c>
    </row>
    <row r="166" spans="2:6" ht="15" customHeight="1">
      <c r="B166" s="87" t="s">
        <v>157</v>
      </c>
      <c r="C166" s="88"/>
      <c r="D166" s="20">
        <f>IFERROR(_xll.ECONOMATICA($C$5,"UnearRe",,D$83,,,,$C$7,,,,IF($D$9=1,{"jtb.opcconscontr=2"},{"jtb.opcconscontr=3"})),"-")</f>
        <v>0</v>
      </c>
      <c r="E166" s="20">
        <f>IFERROR(_xll.ECONOMATICA($C$5,"UnearRe",,E$83,,,,$C$7,,,,IF($D$9=1,{"jtb.opcconscontr=2"},{"jtb.opcconscontr=3"})),"-")</f>
        <v>0</v>
      </c>
      <c r="F166" s="16">
        <f>IFERROR(_xll.ECONOMATICA($C$5,"UnearRe",,F$83,,,,$C$7,,,,IF($D$9=1,{"jtb.opcconscontr=2"},{"jtb.opcconscontr=3"})),"-")</f>
        <v>0</v>
      </c>
    </row>
    <row r="167" spans="2:6" ht="15" customHeight="1">
      <c r="B167" s="89" t="s">
        <v>158</v>
      </c>
      <c r="C167" s="90"/>
      <c r="D167" s="27">
        <f>IFERROR(_xll.ECONOMATICA($C$5,"SubInv",,D$83,,,,$C$7,,,,IF($D$9=1,{"jtb.opcconscontr=2"},{"jtb.opcconscontr=3"})),"-")</f>
        <v>0</v>
      </c>
      <c r="E167" s="27">
        <f>IFERROR(_xll.ECONOMATICA($C$5,"SubInv",,E$83,,,,$C$7,,,,IF($D$9=1,{"jtb.opcconscontr=2"},{"jtb.opcconscontr=3"})),"-")</f>
        <v>0</v>
      </c>
      <c r="F167" s="29">
        <f>IFERROR(_xll.ECONOMATICA($C$5,"SubInv",,F$83,,,,$C$7,,,,IF($D$9=1,{"jtb.opcconscontr=2"},{"jtb.opcconscontr=3"})),"-")</f>
        <v>0</v>
      </c>
    </row>
    <row r="168" spans="2:6" ht="15" customHeight="1">
      <c r="B168" s="87" t="s">
        <v>159</v>
      </c>
      <c r="C168" s="88"/>
      <c r="D168" s="20">
        <f>IFERROR(_xll.ECONOMATICA($C$5,"Stock Eq Total",,D$83,,,,$C$7,,,,IF($D$9=1,{"jtb.opcconscontr=2"},{"jtb.opcconscontr=3"})),"-")</f>
        <v>299137000</v>
      </c>
      <c r="E168" s="20">
        <f>IFERROR(_xll.ECONOMATICA($C$5,"Stock Eq Total",,E$83,,,,$C$7,,,,IF($D$9=1,{"jtb.opcconscontr=2"},{"jtb.opcconscontr=3"})),"-")</f>
        <v>311150000</v>
      </c>
      <c r="F168" s="16">
        <f>IFERROR(_xll.ECONOMATICA($C$5,"Stock Eq Total",,F$83,,,,$C$7,,,,IF($D$9=1,{"jtb.opcconscontr=2"},{"jtb.opcconscontr=3"})),"-")</f>
        <v>389581000</v>
      </c>
    </row>
    <row r="169" spans="2:6" ht="15" customHeight="1">
      <c r="B169" s="85" t="s">
        <v>160</v>
      </c>
      <c r="C169" s="86"/>
      <c r="D169" s="27">
        <f>IFERROR(_xll.ECONOMATICA($C$5,"MinInt",,D$83,,,,$C$7,,,,IF($D$9=1,{"jtb.opcconscontr=2"},{"jtb.opcconscontr=3"})),"-")</f>
        <v>3596000</v>
      </c>
      <c r="E169" s="27">
        <f>IFERROR(_xll.ECONOMATICA($C$5,"MinInt",,E$83,,,,$C$7,,,,IF($D$9=1,{"jtb.opcconscontr=2"},{"jtb.opcconscontr=3"})),"-")</f>
        <v>2740000</v>
      </c>
      <c r="F169" s="29">
        <f>IFERROR(_xll.ECONOMATICA($C$5,"MinInt",,F$83,,,,$C$7,,,,IF($D$9=1,{"jtb.opcconscontr=2"},{"jtb.opcconscontr=3"})),"-")</f>
        <v>2252000</v>
      </c>
    </row>
    <row r="170" spans="2:6" ht="15" customHeight="1">
      <c r="B170" s="83" t="s">
        <v>161</v>
      </c>
      <c r="C170" s="84"/>
      <c r="D170" s="20">
        <f>IFERROR(_xll.ECONOMATICA($C$5,"Stock Eq Par",,D$83,,,,$C$7,,,,IF($D$9=1,{"jtb.opcconscontr=2"},{"jtb.opcconscontr=3"})),"-")</f>
        <v>295541000</v>
      </c>
      <c r="E170" s="20">
        <f>IFERROR(_xll.ECONOMATICA($C$5,"Stock Eq Par",,E$83,,,,$C$7,,,,IF($D$9=1,{"jtb.opcconscontr=2"},{"jtb.opcconscontr=3"})),"-")</f>
        <v>308410000</v>
      </c>
      <c r="F170" s="16">
        <f>IFERROR(_xll.ECONOMATICA($C$5,"Stock Eq Par",,F$83,,,,$C$7,,,,IF($D$9=1,{"jtb.opcconscontr=2"},{"jtb.opcconscontr=3"})),"-")</f>
        <v>387329000</v>
      </c>
    </row>
    <row r="171" spans="2:6" ht="15" customHeight="1">
      <c r="B171" s="89" t="s">
        <v>162</v>
      </c>
      <c r="C171" s="90"/>
      <c r="D171" s="27">
        <f>IFERROR(_xll.ECONOMATICA($C$5,"Capital Stock",,D$83,,,,$C$7,,,,IF($D$9=1,{"jtb.opcconscontr=2"},{"jtb.opcconscontr=3"})),"-")</f>
        <v>205432000</v>
      </c>
      <c r="E171" s="27">
        <f>IFERROR(_xll.ECONOMATICA($C$5,"Capital Stock",,E$83,,,,$C$7,,,,IF($D$9=1,{"jtb.opcconscontr=2"},{"jtb.opcconscontr=3"})),"-")</f>
        <v>205432000</v>
      </c>
      <c r="F171" s="29">
        <f>IFERROR(_xll.ECONOMATICA($C$5,"Capital Stock",,F$83,,,,$C$7,,,,IF($D$9=1,{"jtb.opcconscontr=2"},{"jtb.opcconscontr=3"})),"-")</f>
        <v>205432000</v>
      </c>
    </row>
    <row r="172" spans="2:6" ht="15" customHeight="1">
      <c r="B172" s="87" t="s">
        <v>163</v>
      </c>
      <c r="C172" s="88"/>
      <c r="D172" s="20">
        <f>IFERROR(_xll.ECONOMATICA($C$5,"Capital Reserv",,D$83,,,,$C$7,,,,IF($D$9=1,{"jtb.opcconscontr=2"},{"jtb.opcconscontr=3"})),"-")</f>
        <v>2449000</v>
      </c>
      <c r="E172" s="20">
        <f>IFERROR(_xll.ECONOMATICA($C$5,"Capital Reserv",,E$83,,,,$C$7,,,,IF($D$9=1,{"jtb.opcconscontr=2"},{"jtb.opcconscontr=3"})),"-")</f>
        <v>2449000</v>
      </c>
      <c r="F172" s="16">
        <f>IFERROR(_xll.ECONOMATICA($C$5,"Capital Reserv",,F$83,,,,$C$7,,,,IF($D$9=1,{"jtb.opcconscontr=2"},{"jtb.opcconscontr=3"})),"-")</f>
        <v>3097000</v>
      </c>
    </row>
    <row r="173" spans="2:6" ht="15" customHeight="1">
      <c r="B173" s="93" t="s">
        <v>164</v>
      </c>
      <c r="C173" s="94"/>
      <c r="D173" s="27" t="str">
        <f>IFERROR(_xll.ECONOMATICA($C$5,"CapSurp",,D$83,,,,$C$7,,,,IF($D$9=1,{"jtb.opcconscontr=2"},{"jtb.opcconscontr=3"})),"-")</f>
        <v>-</v>
      </c>
      <c r="E173" s="27" t="str">
        <f>IFERROR(_xll.ECONOMATICA($C$5,"CapSurp",,E$83,,,,$C$7,,,,IF($D$9=1,{"jtb.opcconscontr=2"},{"jtb.opcconscontr=3"})),"-")</f>
        <v>-</v>
      </c>
      <c r="F173" s="29" t="str">
        <f>IFERROR(_xll.ECONOMATICA($C$5,"CapSurp",,F$83,,,,$C$7,,,,IF($D$9=1,{"jtb.opcconscontr=2"},{"jtb.opcconscontr=3"})),"-")</f>
        <v>-</v>
      </c>
    </row>
    <row r="174" spans="2:6" ht="15" customHeight="1">
      <c r="B174" s="91" t="s">
        <v>165</v>
      </c>
      <c r="C174" s="92"/>
      <c r="D174" s="20" t="str">
        <f>IFERROR(_xll.ECONOMATICA($C$5,"ReEsVaIn",,D$83,,,,$C$7,,,,IF($D$9=1,{"jtb.opcconscontr=2"},{"jtb.opcconscontr=3"})),"-")</f>
        <v>-</v>
      </c>
      <c r="E174" s="20" t="str">
        <f>IFERROR(_xll.ECONOMATICA($C$5,"ReEsVaIn",,E$83,,,,$C$7,,,,IF($D$9=1,{"jtb.opcconscontr=2"},{"jtb.opcconscontr=3"})),"-")</f>
        <v>-</v>
      </c>
      <c r="F174" s="16" t="str">
        <f>IFERROR(_xll.ECONOMATICA($C$5,"ReEsVaIn",,F$83,,,,$C$7,,,,IF($D$9=1,{"jtb.opcconscontr=2"},{"jtb.opcconscontr=3"})),"-")</f>
        <v>-</v>
      </c>
    </row>
    <row r="175" spans="2:6" ht="15" customHeight="1">
      <c r="B175" s="93" t="s">
        <v>166</v>
      </c>
      <c r="C175" s="94"/>
      <c r="D175" s="27" t="str">
        <f>IFERROR(_xll.ECONOMATICA($C$5,"EnaBoSus",,D$83,,,,$C$7,,,,IF($D$9=1,{"jtb.opcconscontr=2"},{"jtb.opcconscontr=3"})),"-")</f>
        <v>-</v>
      </c>
      <c r="E175" s="27" t="str">
        <f>IFERROR(_xll.ECONOMATICA($C$5,"EnaBoSus",,E$83,,,,$C$7,,,,IF($D$9=1,{"jtb.opcconscontr=2"},{"jtb.opcconscontr=3"})),"-")</f>
        <v>-</v>
      </c>
      <c r="F175" s="29" t="str">
        <f>IFERROR(_xll.ECONOMATICA($C$5,"EnaBoSus",,F$83,,,,$C$7,,,,IF($D$9=1,{"jtb.opcconscontr=2"},{"jtb.opcconscontr=3"})),"-")</f>
        <v>-</v>
      </c>
    </row>
    <row r="176" spans="2:6" ht="15" customHeight="1">
      <c r="B176" s="91" t="s">
        <v>167</v>
      </c>
      <c r="C176" s="92"/>
      <c r="D176" s="20" t="str">
        <f>IFERROR(_xll.ECONOMATICA($C$5,"OpcConc",,D$83,,,,$C$7,,,,IF($D$9=1,{"jtb.opcconscontr=2"},{"jtb.opcconscontr=3"})),"-")</f>
        <v>-</v>
      </c>
      <c r="E176" s="20" t="str">
        <f>IFERROR(_xll.ECONOMATICA($C$5,"OpcConc",,E$83,,,,$C$7,,,,IF($D$9=1,{"jtb.opcconscontr=2"},{"jtb.opcconscontr=3"})),"-")</f>
        <v>-</v>
      </c>
      <c r="F176" s="16" t="str">
        <f>IFERROR(_xll.ECONOMATICA($C$5,"OpcConc",,F$83,,,,$C$7,,,,IF($D$9=1,{"jtb.opcconscontr=2"},{"jtb.opcconscontr=3"})),"-")</f>
        <v>-</v>
      </c>
    </row>
    <row r="177" spans="2:6" ht="15" customHeight="1">
      <c r="B177" s="93" t="s">
        <v>168</v>
      </c>
      <c r="C177" s="94"/>
      <c r="D177" s="27" t="str">
        <f>IFERROR(_xll.ECONOMATICA($C$5,"TrSh(CapR)",,D$83,,,,$C$7,,,,IF($D$9=1,{"jtb.opcconscontr=2"},{"jtb.opcconscontr=3"})),"-")</f>
        <v>-</v>
      </c>
      <c r="E177" s="27" t="str">
        <f>IFERROR(_xll.ECONOMATICA($C$5,"TrSh(CapR)",,E$83,,,,$C$7,,,,IF($D$9=1,{"jtb.opcconscontr=2"},{"jtb.opcconscontr=3"})),"-")</f>
        <v>-</v>
      </c>
      <c r="F177" s="29" t="str">
        <f>IFERROR(_xll.ECONOMATICA($C$5,"TrSh(CapR)",,F$83,,,,$C$7,,,,IF($D$9=1,{"jtb.opcconscontr=2"},{"jtb.opcconscontr=3"})),"-")</f>
        <v>-</v>
      </c>
    </row>
    <row r="178" spans="2:6" ht="15" customHeight="1">
      <c r="B178" s="91" t="s">
        <v>169</v>
      </c>
      <c r="C178" s="92"/>
      <c r="D178" s="20" t="str">
        <f>IFERROR(_xll.ECONOMATICA($C$5,"FutureCapIncr",,D$83,,,,$C$7,,,,IF($D$9=1,{"jtb.opcconscontr=2"},{"jtb.opcconscontr=3"})),"-")</f>
        <v>-</v>
      </c>
      <c r="E178" s="20" t="str">
        <f>IFERROR(_xll.ECONOMATICA($C$5,"FutureCapIncr",,E$83,,,,$C$7,,,,IF($D$9=1,{"jtb.opcconscontr=2"},{"jtb.opcconscontr=3"})),"-")</f>
        <v>-</v>
      </c>
      <c r="F178" s="16" t="str">
        <f>IFERROR(_xll.ECONOMATICA($C$5,"FutureCapIncr",,F$83,,,,$C$7,,,,IF($D$9=1,{"jtb.opcconscontr=2"},{"jtb.opcconscontr=3"})),"-")</f>
        <v>-</v>
      </c>
    </row>
    <row r="179" spans="2:6" ht="15" customHeight="1">
      <c r="B179" s="93" t="s">
        <v>47</v>
      </c>
      <c r="C179" s="94"/>
      <c r="D179" s="27" t="str">
        <f>IFERROR(_xll.ECONOMATICA($C$5,"OtherCR",,D$83,,,,$C$7,,,,IF($D$9=1,{"jtb.opcconscontr=2"},{"jtb.opcconscontr=3"})),"-")</f>
        <v>-</v>
      </c>
      <c r="E179" s="27" t="str">
        <f>IFERROR(_xll.ECONOMATICA($C$5,"OtherCR",,E$83,,,,$C$7,,,,IF($D$9=1,{"jtb.opcconscontr=2"},{"jtb.opcconscontr=3"})),"-")</f>
        <v>-</v>
      </c>
      <c r="F179" s="29" t="str">
        <f>IFERROR(_xll.ECONOMATICA($C$5,"OtherCR",,F$83,,,,$C$7,,,,IF($D$9=1,{"jtb.opcconscontr=2"},{"jtb.opcconscontr=3"})),"-")</f>
        <v>-</v>
      </c>
    </row>
    <row r="180" spans="2:6" ht="15" customHeight="1">
      <c r="B180" s="87" t="s">
        <v>170</v>
      </c>
      <c r="C180" s="88"/>
      <c r="D180" s="20">
        <f>IFERROR(_xll.ECONOMATICA($C$5,"RevaRs",,D$83,,,,$C$7,,,,IF($D$9=1,{"jtb.opcconscontr=2"},{"jtb.opcconscontr=3"})),"-")</f>
        <v>0</v>
      </c>
      <c r="E180" s="20">
        <f>IFERROR(_xll.ECONOMATICA($C$5,"RevaRs",,E$83,,,,$C$7,,,,IF($D$9=1,{"jtb.opcconscontr=2"},{"jtb.opcconscontr=3"})),"-")</f>
        <v>0</v>
      </c>
      <c r="F180" s="16">
        <f>IFERROR(_xll.ECONOMATICA($C$5,"RevaRs",,F$83,,,,$C$7,,,,IF($D$9=1,{"jtb.opcconscontr=2"},{"jtb.opcconscontr=3"})),"-")</f>
        <v>0</v>
      </c>
    </row>
    <row r="181" spans="2:6" ht="15" customHeight="1">
      <c r="B181" s="89" t="s">
        <v>171</v>
      </c>
      <c r="C181" s="90"/>
      <c r="D181" s="27">
        <f>IFERROR(_xll.ECONOMATICA($C$5,"EarRes",,D$83,,,,$C$7,,,,IF($D$9=1,{"jtb.opcconscontr=2"},{"jtb.opcconscontr=3"})),"-")</f>
        <v>124829000</v>
      </c>
      <c r="E181" s="27">
        <f>IFERROR(_xll.ECONOMATICA($C$5,"EarRes",,E$83,,,,$C$7,,,,IF($D$9=1,{"jtb.opcconscontr=2"},{"jtb.opcconscontr=3"})),"-")</f>
        <v>127512000</v>
      </c>
      <c r="F181" s="29">
        <f>IFERROR(_xll.ECONOMATICA($C$5,"EarRes",,F$83,,,,$C$7,,,,IF($D$9=1,{"jtb.opcconscontr=2"},{"jtb.opcconscontr=3"})),"-")</f>
        <v>164244000</v>
      </c>
    </row>
    <row r="182" spans="2:6" ht="15" customHeight="1">
      <c r="B182" s="91" t="s">
        <v>172</v>
      </c>
      <c r="C182" s="92"/>
      <c r="D182" s="20" t="str">
        <f>IFERROR(_xll.ECONOMATICA($C$5,"Legal Reserv",,D$83,,,,$C$7,,,,IF($D$9=1,{"jtb.opcconscontr=2"},{"jtb.opcconscontr=3"})),"-")</f>
        <v>-</v>
      </c>
      <c r="E182" s="20" t="str">
        <f>IFERROR(_xll.ECONOMATICA($C$5,"Legal Reserv",,E$83,,,,$C$7,,,,IF($D$9=1,{"jtb.opcconscontr=2"},{"jtb.opcconscontr=3"})),"-")</f>
        <v>-</v>
      </c>
      <c r="F182" s="16" t="str">
        <f>IFERROR(_xll.ECONOMATICA($C$5,"Legal Reserv",,F$83,,,,$C$7,,,,IF($D$9=1,{"jtb.opcconscontr=2"},{"jtb.opcconscontr=3"})),"-")</f>
        <v>-</v>
      </c>
    </row>
    <row r="183" spans="2:6" ht="15" customHeight="1">
      <c r="B183" s="93" t="s">
        <v>173</v>
      </c>
      <c r="C183" s="94"/>
      <c r="D183" s="27" t="str">
        <f>IFERROR(_xll.ECONOMATICA($C$5,"StaRes",,D$83,,,,$C$7,,,,IF($D$9=1,{"jtb.opcconscontr=2"},{"jtb.opcconscontr=3"})),"-")</f>
        <v>-</v>
      </c>
      <c r="E183" s="27" t="str">
        <f>IFERROR(_xll.ECONOMATICA($C$5,"StaRes",,E$83,,,,$C$7,,,,IF($D$9=1,{"jtb.opcconscontr=2"},{"jtb.opcconscontr=3"})),"-")</f>
        <v>-</v>
      </c>
      <c r="F183" s="29" t="str">
        <f>IFERROR(_xll.ECONOMATICA($C$5,"StaRes",,F$83,,,,$C$7,,,,IF($D$9=1,{"jtb.opcconscontr=2"},{"jtb.opcconscontr=3"})),"-")</f>
        <v>-</v>
      </c>
    </row>
    <row r="184" spans="2:6" ht="15" customHeight="1">
      <c r="B184" s="91" t="s">
        <v>174</v>
      </c>
      <c r="C184" s="92"/>
      <c r="D184" s="20" t="str">
        <f>IFERROR(_xll.ECONOMATICA($C$5,"ReserForCont",,D$83,,,,$C$7,,,,IF($D$9=1,{"jtb.opcconscontr=2"},{"jtb.opcconscontr=3"})),"-")</f>
        <v>-</v>
      </c>
      <c r="E184" s="20" t="str">
        <f>IFERROR(_xll.ECONOMATICA($C$5,"ReserForCont",,E$83,,,,$C$7,,,,IF($D$9=1,{"jtb.opcconscontr=2"},{"jtb.opcconscontr=3"})),"-")</f>
        <v>-</v>
      </c>
      <c r="F184" s="16" t="str">
        <f>IFERROR(_xll.ECONOMATICA($C$5,"ReserForCont",,F$83,,,,$C$7,,,,IF($D$9=1,{"jtb.opcconscontr=2"},{"jtb.opcconscontr=3"})),"-")</f>
        <v>-</v>
      </c>
    </row>
    <row r="185" spans="2:6" ht="15" customHeight="1">
      <c r="B185" s="93" t="s">
        <v>175</v>
      </c>
      <c r="C185" s="94"/>
      <c r="D185" s="27" t="str">
        <f>IFERROR(_xll.ECONOMATICA($C$5,"UnrEar",,D$83,,,,$C$7,,,,IF($D$9=1,{"jtb.opcconscontr=2"},{"jtb.opcconscontr=3"})),"-")</f>
        <v>-</v>
      </c>
      <c r="E185" s="27" t="str">
        <f>IFERROR(_xll.ECONOMATICA($C$5,"UnrEar",,E$83,,,,$C$7,,,,IF($D$9=1,{"jtb.opcconscontr=2"},{"jtb.opcconscontr=3"})),"-")</f>
        <v>-</v>
      </c>
      <c r="F185" s="29" t="str">
        <f>IFERROR(_xll.ECONOMATICA($C$5,"UnrEar",,F$83,,,,$C$7,,,,IF($D$9=1,{"jtb.opcconscontr=2"},{"jtb.opcconscontr=3"})),"-")</f>
        <v>-</v>
      </c>
    </row>
    <row r="186" spans="2:6" ht="15" customHeight="1">
      <c r="B186" s="91" t="s">
        <v>176</v>
      </c>
      <c r="C186" s="92"/>
      <c r="D186" s="20" t="str">
        <f>IFERROR(_xll.ECONOMATICA($C$5,"Ret Ear Rsv",,D$83,,,,$C$7,,,,IF($D$9=1,{"jtb.opcconscontr=2"},{"jtb.opcconscontr=3"})),"-")</f>
        <v>-</v>
      </c>
      <c r="E186" s="20" t="str">
        <f>IFERROR(_xll.ECONOMATICA($C$5,"Ret Ear Rsv",,E$83,,,,$C$7,,,,IF($D$9=1,{"jtb.opcconscontr=2"},{"jtb.opcconscontr=3"})),"-")</f>
        <v>-</v>
      </c>
      <c r="F186" s="16" t="str">
        <f>IFERROR(_xll.ECONOMATICA($C$5,"Ret Ear Rsv",,F$83,,,,$C$7,,,,IF($D$9=1,{"jtb.opcconscontr=2"},{"jtb.opcconscontr=3"})),"-")</f>
        <v>-</v>
      </c>
    </row>
    <row r="187" spans="2:6" ht="15" customHeight="1">
      <c r="B187" s="93" t="s">
        <v>177</v>
      </c>
      <c r="C187" s="94"/>
      <c r="D187" s="27" t="str">
        <f>IFERROR(_xll.ECONOMATICA($C$5,"ResFUndDiv",,D$83,,,,$C$7,,,,IF($D$9=1,{"jtb.opcconscontr=2"},{"jtb.opcconscontr=3"})),"-")</f>
        <v>-</v>
      </c>
      <c r="E187" s="27" t="str">
        <f>IFERROR(_xll.ECONOMATICA($C$5,"ResFUndDiv",,E$83,,,,$C$7,,,,IF($D$9=1,{"jtb.opcconscontr=2"},{"jtb.opcconscontr=3"})),"-")</f>
        <v>-</v>
      </c>
      <c r="F187" s="29" t="str">
        <f>IFERROR(_xll.ECONOMATICA($C$5,"ResFUndDiv",,F$83,,,,$C$7,,,,IF($D$9=1,{"jtb.opcconscontr=2"},{"jtb.opcconscontr=3"})),"-")</f>
        <v>-</v>
      </c>
    </row>
    <row r="188" spans="2:6" ht="15" customHeight="1">
      <c r="B188" s="91" t="s">
        <v>178</v>
      </c>
      <c r="C188" s="92"/>
      <c r="D188" s="20" t="str">
        <f>IFERROR(_xll.ECONOMATICA($C$5,"ReInFis",,D$83,,,,$C$7,,,,IF($D$9=1,{"jtb.opcconscontr=2"},{"jtb.opcconscontr=3"})),"-")</f>
        <v>-</v>
      </c>
      <c r="E188" s="20" t="str">
        <f>IFERROR(_xll.ECONOMATICA($C$5,"ReInFis",,E$83,,,,$C$7,,,,IF($D$9=1,{"jtb.opcconscontr=2"},{"jtb.opcconscontr=3"})),"-")</f>
        <v>-</v>
      </c>
      <c r="F188" s="16" t="str">
        <f>IFERROR(_xll.ECONOMATICA($C$5,"ReInFis",,F$83,,,,$C$7,,,,IF($D$9=1,{"jtb.opcconscontr=2"},{"jtb.opcconscontr=3"})),"-")</f>
        <v>-</v>
      </c>
    </row>
    <row r="189" spans="2:6" ht="15" customHeight="1">
      <c r="B189" s="93" t="s">
        <v>179</v>
      </c>
      <c r="C189" s="94"/>
      <c r="D189" s="27" t="str">
        <f>IFERROR(_xll.ECONOMATICA($C$5,"DivAdPro",,D$83,,,,$C$7,,,,IF($D$9=1,{"jtb.opcconscontr=2"},{"jtb.opcconscontr=3"})),"-")</f>
        <v>-</v>
      </c>
      <c r="E189" s="27" t="str">
        <f>IFERROR(_xll.ECONOMATICA($C$5,"DivAdPro",,E$83,,,,$C$7,,,,IF($D$9=1,{"jtb.opcconscontr=2"},{"jtb.opcconscontr=3"})),"-")</f>
        <v>-</v>
      </c>
      <c r="F189" s="29" t="str">
        <f>IFERROR(_xll.ECONOMATICA($C$5,"DivAdPro",,F$83,,,,$C$7,,,,IF($D$9=1,{"jtb.opcconscontr=2"},{"jtb.opcconscontr=3"})),"-")</f>
        <v>-</v>
      </c>
    </row>
    <row r="190" spans="2:6" ht="15" customHeight="1">
      <c r="B190" s="91" t="s">
        <v>180</v>
      </c>
      <c r="C190" s="92"/>
      <c r="D190" s="20" t="str">
        <f>IFERROR(_xll.ECONOMATICA($C$5,"TrSh(EarRe)",,D$83,,,,$C$7,,,,IF($D$9=1,{"jtb.opcconscontr=2"},{"jtb.opcconscontr=3"})),"-")</f>
        <v>-</v>
      </c>
      <c r="E190" s="20" t="str">
        <f>IFERROR(_xll.ECONOMATICA($C$5,"TrSh(EarRe)",,E$83,,,,$C$7,,,,IF($D$9=1,{"jtb.opcconscontr=2"},{"jtb.opcconscontr=3"})),"-")</f>
        <v>-</v>
      </c>
      <c r="F190" s="16" t="str">
        <f>IFERROR(_xll.ECONOMATICA($C$5,"TrSh(EarRe)",,F$83,,,,$C$7,,,,IF($D$9=1,{"jtb.opcconscontr=2"},{"jtb.opcconscontr=3"})),"-")</f>
        <v>-</v>
      </c>
    </row>
    <row r="191" spans="2:6" ht="15" customHeight="1">
      <c r="B191" s="93" t="s">
        <v>47</v>
      </c>
      <c r="C191" s="94"/>
      <c r="D191" s="27" t="str">
        <f>IFERROR(_xll.ECONOMATICA($C$5,"OtherER",,D$83,,,,$C$7,,,,IF($D$9=1,{"jtb.opcconscontr=2"},{"jtb.opcconscontr=3"})),"-")</f>
        <v>-</v>
      </c>
      <c r="E191" s="27" t="str">
        <f>IFERROR(_xll.ECONOMATICA($C$5,"OtherER",,E$83,,,,$C$7,,,,IF($D$9=1,{"jtb.opcconscontr=2"},{"jtb.opcconscontr=3"})),"-")</f>
        <v>-</v>
      </c>
      <c r="F191" s="29" t="str">
        <f>IFERROR(_xll.ECONOMATICA($C$5,"OtherER",,F$83,,,,$C$7,,,,IF($D$9=1,{"jtb.opcconscontr=2"},{"jtb.opcconscontr=3"})),"-")</f>
        <v>-</v>
      </c>
    </row>
    <row r="192" spans="2:6" ht="15" customHeight="1">
      <c r="B192" s="87" t="s">
        <v>181</v>
      </c>
      <c r="C192" s="88"/>
      <c r="D192" s="20">
        <f>IFERROR(_xll.ECONOMATICA($C$5,"Retained Earn",,D$83,,,,$C$7,,,,IF($D$9=1,{"jtb.opcconscontr=2"},{"jtb.opcconscontr=3"})),"-")</f>
        <v>0</v>
      </c>
      <c r="E192" s="20">
        <f>IFERROR(_xll.ECONOMATICA($C$5,"Retained Earn",,E$83,,,,$C$7,,,,IF($D$9=1,{"jtb.opcconscontr=2"},{"jtb.opcconscontr=3"})),"-")</f>
        <v>0</v>
      </c>
      <c r="F192" s="16">
        <f>IFERROR(_xll.ECONOMATICA($C$5,"Retained Earn",,F$83,,,,$C$7,,,,IF($D$9=1,{"jtb.opcconscontr=2"},{"jtb.opcconscontr=3"})),"-")</f>
        <v>0</v>
      </c>
    </row>
    <row r="193" spans="2:6" ht="15" customHeight="1">
      <c r="B193" s="89" t="s">
        <v>182</v>
      </c>
      <c r="C193" s="90"/>
      <c r="D193" s="27">
        <f>IFERROR(_xll.ECONOMATICA($C$5,"AjAvalPatr",,D$83,,,,$C$7,,,,IF($D$9=1,{"jtb.opcconscontr=2"},{"jtb.opcconscontr=3"})),"-")</f>
        <v>0</v>
      </c>
      <c r="E193" s="27">
        <f>IFERROR(_xll.ECONOMATICA($C$5,"AjAvalPatr",,E$83,,,,$C$7,,,,IF($D$9=1,{"jtb.opcconscontr=2"},{"jtb.opcconscontr=3"})),"-")</f>
        <v>0</v>
      </c>
      <c r="F193" s="29">
        <f>IFERROR(_xll.ECONOMATICA($C$5,"AjAvalPatr",,F$83,,,,$C$7,,,,IF($D$9=1,{"jtb.opcconscontr=2"},{"jtb.opcconscontr=3"})),"-")</f>
        <v>0</v>
      </c>
    </row>
    <row r="194" spans="2:6" ht="15" customHeight="1">
      <c r="B194" s="87" t="s">
        <v>183</v>
      </c>
      <c r="C194" s="88"/>
      <c r="D194" s="20">
        <f>IFERROR(_xll.ECONOMATICA($C$5,"AjAcumConv",,D$83,,,,$C$7,,,,IF($D$9=1,{"jtb.opcconscontr=2"},{"jtb.opcconscontr=3"})),"-")</f>
        <v>0</v>
      </c>
      <c r="E194" s="20">
        <f>IFERROR(_xll.ECONOMATICA($C$5,"AjAcumConv",,E$83,,,,$C$7,,,,IF($D$9=1,{"jtb.opcconscontr=2"},{"jtb.opcconscontr=3"})),"-")</f>
        <v>0</v>
      </c>
      <c r="F194" s="16">
        <f>IFERROR(_xll.ECONOMATICA($C$5,"AjAcumConv",,F$83,,,,$C$7,,,,IF($D$9=1,{"jtb.opcconscontr=2"},{"jtb.opcconscontr=3"})),"-")</f>
        <v>0</v>
      </c>
    </row>
    <row r="195" spans="2:6" ht="15" customHeight="1" thickBot="1">
      <c r="B195" s="103" t="s">
        <v>184</v>
      </c>
      <c r="C195" s="104"/>
      <c r="D195" s="33">
        <f>IFERROR(_xll.ECONOMATICA($C$5,"OtCoIn",,D$83,,,,$C$7,,,,IF($D$9=1,{"jtb.opcconscontr=2"},{"jtb.opcconscontr=3"})),"-")</f>
        <v>-37169000</v>
      </c>
      <c r="E195" s="33">
        <f>IFERROR(_xll.ECONOMATICA($C$5,"OtCoIn",,E$83,,,,$C$7,,,,IF($D$9=1,{"jtb.opcconscontr=2"},{"jtb.opcconscontr=3"})),"-")</f>
        <v>-26983000</v>
      </c>
      <c r="F195" s="34">
        <f>IFERROR(_xll.ECONOMATICA($C$5,"OtCoIn",,F$83,,,,$C$7,,,,IF($D$9=1,{"jtb.opcconscontr=2"},{"jtb.opcconscontr=3"})),"-")</f>
        <v>14556000</v>
      </c>
    </row>
    <row r="196" spans="2:6" ht="15" customHeight="1" thickTop="1">
      <c r="B196" s="9"/>
      <c r="C196" s="9"/>
      <c r="D196" s="9"/>
      <c r="E196" s="9"/>
      <c r="F196" s="9"/>
    </row>
    <row r="197" spans="2:6" ht="15" customHeight="1" thickBot="1">
      <c r="B197" s="72" t="s">
        <v>185</v>
      </c>
      <c r="C197" s="72"/>
      <c r="D197" s="72"/>
      <c r="E197" s="72"/>
      <c r="F197" s="72"/>
    </row>
    <row r="198" spans="2:6" ht="15" customHeight="1" thickTop="1">
      <c r="B198" s="35"/>
      <c r="C198" s="35"/>
      <c r="D198" s="35"/>
      <c r="E198" s="35"/>
      <c r="F198" s="35"/>
    </row>
    <row r="199" spans="2:6" ht="15" customHeight="1" thickBot="1">
      <c r="B199" s="81" t="s">
        <v>186</v>
      </c>
      <c r="C199" s="82"/>
      <c r="D199" s="36">
        <f>$D$16</f>
        <v>43830</v>
      </c>
      <c r="E199" s="36">
        <f>$E$16</f>
        <v>44196</v>
      </c>
      <c r="F199" s="37">
        <f>$F$16</f>
        <v>44561</v>
      </c>
    </row>
    <row r="200" spans="2:6" ht="15" customHeight="1" thickTop="1">
      <c r="B200" s="105" t="s">
        <v>187</v>
      </c>
      <c r="C200" s="106"/>
      <c r="D200" s="19">
        <f>IFERROR(_xll.ECONOMATICA($C$5,"Revenues",,D$199,,,,$C$7,,,,IF($D$9=1,{"jtb.opcconscontr=2"},{"jtb.opcconscontr=3"})),"-")</f>
        <v>302245000</v>
      </c>
      <c r="E200" s="19">
        <f>IFERROR(_xll.ECONOMATICA($C$5,"Revenues",,E$199,,,,$C$7,,,,IF($D$9=1,{"jtb.opcconscontr=2"},{"jtb.opcconscontr=3"})),"-")</f>
        <v>272069000</v>
      </c>
      <c r="F200" s="14">
        <f>IFERROR(_xll.ECONOMATICA($C$5,"Revenues",,F$199,,,,$C$7,,,,IF($D$9=1,{"jtb.opcconscontr=2"},{"jtb.opcconscontr=3"})),"-")</f>
        <v>452668000</v>
      </c>
    </row>
    <row r="201" spans="2:6" ht="15" customHeight="1">
      <c r="B201" s="97" t="s">
        <v>188</v>
      </c>
      <c r="C201" s="98"/>
      <c r="D201" s="42">
        <f>IFERROR(_xll.ECONOMATICA($C$5,"Cost Goods Sold",,D$199,,,,$C$7,,,,IF($D$9=1,{"jtb.opcconscontr=2"},{"jtb.opcconscontr=3"})),"-")</f>
        <v>180140000</v>
      </c>
      <c r="E201" s="42">
        <f>IFERROR(_xll.ECONOMATICA($C$5,"Cost Goods Sold",,E$199,,,,$C$7,,,,IF($D$9=1,{"jtb.opcconscontr=2"},{"jtb.opcconscontr=3"})),"-")</f>
        <v>148107000</v>
      </c>
      <c r="F201" s="43">
        <f>IFERROR(_xll.ECONOMATICA($C$5,"Cost Goods Sold",,F$199,,,,$C$7,,,,IF($D$9=1,{"jtb.opcconscontr=2"},{"jtb.opcconscontr=3"})),"-")</f>
        <v>233031000</v>
      </c>
    </row>
    <row r="202" spans="2:6" ht="15" customHeight="1">
      <c r="B202" s="95" t="s">
        <v>189</v>
      </c>
      <c r="C202" s="96"/>
      <c r="D202" s="40">
        <f>IFERROR(_xll.ECONOMATICA($C$5,"Gross Profit",,D$199,,,,$C$7,,,,IF($D$9=1,{"jtb.opcconscontr=2"},{"jtb.opcconscontr=3"})),"-")</f>
        <v>122105000</v>
      </c>
      <c r="E202" s="40">
        <f>IFERROR(_xll.ECONOMATICA($C$5,"Gross Profit",,E$199,,,,$C$7,,,,IF($D$9=1,{"jtb.opcconscontr=2"},{"jtb.opcconscontr=3"})),"-")</f>
        <v>123962000</v>
      </c>
      <c r="F202" s="38">
        <f>IFERROR(_xll.ECONOMATICA($C$5,"Gross Profit",,F$199,,,,$C$7,,,,IF($D$9=1,{"jtb.opcconscontr=2"},{"jtb.opcconscontr=3"})),"-")</f>
        <v>219637000</v>
      </c>
    </row>
    <row r="203" spans="2:6" ht="15" customHeight="1">
      <c r="B203" s="85" t="s">
        <v>190</v>
      </c>
      <c r="C203" s="86"/>
      <c r="D203" s="27">
        <f>IFERROR(_xll.ECONOMATICA($C$5,"OpEx(in)",,D$199,,,,$C$7,,,,IF($D$9=1,{"jtb.opcconscontr=2"},{"jtb.opcconscontr=3"})),"-")</f>
        <v>40404000</v>
      </c>
      <c r="E203" s="27">
        <f>IFERROR(_xll.ECONOMATICA($C$5,"OpEx(in)",,E$199,,,,$C$7,,,,IF($D$9=1,{"jtb.opcconscontr=2"},{"jtb.opcconscontr=3"})),"-")</f>
        <v>74341000</v>
      </c>
      <c r="F203" s="29">
        <f>IFERROR(_xll.ECONOMATICA($C$5,"OpEx(in)",,F$199,,,,$C$7,,,,IF($D$9=1,{"jtb.opcconscontr=2"},{"jtb.opcconscontr=3"})),"-")</f>
        <v>8806000</v>
      </c>
    </row>
    <row r="204" spans="2:6" ht="15" customHeight="1">
      <c r="B204" s="83" t="s">
        <v>191</v>
      </c>
      <c r="C204" s="84"/>
      <c r="D204" s="20">
        <f>IFERROR(_xll.ECONOMATICA($C$5,"Sales Exp",,D$199,,,,$C$7,,,,IF($D$9=1,{"jtb.opcconscontr=2"},{"jtb.opcconscontr=3"})),"-")</f>
        <v>17746000</v>
      </c>
      <c r="E204" s="20">
        <f>IFERROR(_xll.ECONOMATICA($C$5,"Sales Exp",,E$199,,,,$C$7,,,,IF($D$9=1,{"jtb.opcconscontr=2"},{"jtb.opcconscontr=3"})),"-")</f>
        <v>25020000</v>
      </c>
      <c r="F204" s="16">
        <f>IFERROR(_xll.ECONOMATICA($C$5,"Sales Exp",,F$199,,,,$C$7,,,,IF($D$9=1,{"jtb.opcconscontr=2"},{"jtb.opcconscontr=3"})),"-")</f>
        <v>22806000</v>
      </c>
    </row>
    <row r="205" spans="2:6" ht="15" customHeight="1">
      <c r="B205" s="85" t="s">
        <v>192</v>
      </c>
      <c r="C205" s="86"/>
      <c r="D205" s="27">
        <f>IFERROR(_xll.ECONOMATICA($C$5,"Admin Expen",,D$199,,,,$C$7,,,,IF($D$9=1,{"jtb.opcconscontr=2"},{"jtb.opcconscontr=3"})),"-")</f>
        <v>8368000</v>
      </c>
      <c r="E205" s="27">
        <f>IFERROR(_xll.ECONOMATICA($C$5,"Admin Expen",,E$199,,,,$C$7,,,,IF($D$9=1,{"jtb.opcconscontr=2"},{"jtb.opcconscontr=3"})),"-")</f>
        <v>5525000</v>
      </c>
      <c r="F205" s="29">
        <f>IFERROR(_xll.ECONOMATICA($C$5,"Admin Expen",,F$199,,,,$C$7,,,,IF($D$9=1,{"jtb.opcconscontr=2"},{"jtb.opcconscontr=3"})),"-")</f>
        <v>6340000</v>
      </c>
    </row>
    <row r="206" spans="2:6" ht="15" customHeight="1">
      <c r="B206" s="83" t="s">
        <v>193</v>
      </c>
      <c r="C206" s="84"/>
      <c r="D206" s="20">
        <f>IFERROR(_xll.ECONOMATICA($C$5,"Impairm",,D$199,,,,$C$7,,,,IF($D$9=1,{"jtb.opcconscontr=2"},{"jtb.opcconscontr=3"})),"-")</f>
        <v>0</v>
      </c>
      <c r="E206" s="20">
        <f>IFERROR(_xll.ECONOMATICA($C$5,"Impairm",,E$199,,,,$C$7,,,,IF($D$9=1,{"jtb.opcconscontr=2"},{"jtb.opcconscontr=3"})),"-")</f>
        <v>0</v>
      </c>
      <c r="F206" s="16">
        <f>IFERROR(_xll.ECONOMATICA($C$5,"Impairm",,F$199,,,,$C$7,,,,IF($D$9=1,{"jtb.opcconscontr=2"},{"jtb.opcconscontr=3"})),"-")</f>
        <v>0</v>
      </c>
    </row>
    <row r="207" spans="2:6" ht="15" customHeight="1">
      <c r="B207" s="85" t="s">
        <v>194</v>
      </c>
      <c r="C207" s="86"/>
      <c r="D207" s="27">
        <f>IFERROR(_xll.ECONOMATICA($C$5,"OthOperRev",,D$199,,,,$C$7,,,,IF($D$9=1,{"jtb.opcconscontr=2"},{"jtb.opcconscontr=3"})),"-")</f>
        <v>0</v>
      </c>
      <c r="E207" s="27">
        <f>IFERROR(_xll.ECONOMATICA($C$5,"OthOperRev",,E$199,,,,$C$7,,,,IF($D$9=1,{"jtb.opcconscontr=2"},{"jtb.opcconscontr=3"})),"-")</f>
        <v>0</v>
      </c>
      <c r="F207" s="29">
        <f>IFERROR(_xll.ECONOMATICA($C$5,"OthOperRev",,F$199,,,,$C$7,,,,IF($D$9=1,{"jtb.opcconscontr=2"},{"jtb.opcconscontr=3"})),"-")</f>
        <v>0</v>
      </c>
    </row>
    <row r="208" spans="2:6" ht="15" customHeight="1">
      <c r="B208" s="83" t="s">
        <v>195</v>
      </c>
      <c r="C208" s="84"/>
      <c r="D208" s="20">
        <f>IFERROR(_xll.ECONOMATICA($C$5,"OOpExp",,D$199,,,,$C$7,,,,IF($D$9=1,{"jtb.opcconscontr=2"},{"jtb.opcconscontr=3"})),"-")</f>
        <v>14837000</v>
      </c>
      <c r="E208" s="20">
        <f>IFERROR(_xll.ECONOMATICA($C$5,"OOpExp",,E$199,,,,$C$7,,,,IF($D$9=1,{"jtb.opcconscontr=2"},{"jtb.opcconscontr=3"})),"-")</f>
        <v>40524000</v>
      </c>
      <c r="F208" s="16">
        <f>IFERROR(_xll.ECONOMATICA($C$5,"OOpExp",,F$199,,,,$C$7,,,,IF($D$9=1,{"jtb.opcconscontr=2"},{"jtb.opcconscontr=3"})),"-")</f>
        <v>-11913000</v>
      </c>
    </row>
    <row r="209" spans="2:6" ht="15" customHeight="1">
      <c r="B209" s="85" t="s">
        <v>196</v>
      </c>
      <c r="C209" s="86"/>
      <c r="D209" s="27">
        <f>IFERROR(_xll.ECONOMATICA($C$5,"Equity Income",,D$199,,,,$C$7,,,,IF($D$9=1,{"jtb.opcconscontr=2"},{"jtb.opcconscontr=3"})),"-")</f>
        <v>547000</v>
      </c>
      <c r="E209" s="27">
        <f>IFERROR(_xll.ECONOMATICA($C$5,"Equity Income",,E$199,,,,$C$7,,,,IF($D$9=1,{"jtb.opcconscontr=2"},{"jtb.opcconscontr=3"})),"-")</f>
        <v>-3272000</v>
      </c>
      <c r="F209" s="29">
        <f>IFERROR(_xll.ECONOMATICA($C$5,"Equity Income",,F$199,,,,$C$7,,,,IF($D$9=1,{"jtb.opcconscontr=2"},{"jtb.opcconscontr=3"})),"-")</f>
        <v>8427000</v>
      </c>
    </row>
    <row r="210" spans="2:6" ht="15" customHeight="1">
      <c r="B210" s="95" t="s">
        <v>197</v>
      </c>
      <c r="C210" s="96"/>
      <c r="D210" s="40">
        <f>IFERROR(_xll.ECONOMATICA($C$5,"EBIT",,D$199,,,,$C$7,,,,IF($D$9=1,{"jtb.opcconscontr=2"},{"jtb.opcconscontr=3"})),"-")</f>
        <v>81701000</v>
      </c>
      <c r="E210" s="40">
        <f>IFERROR(_xll.ECONOMATICA($C$5,"EBIT",,E$199,,,,$C$7,,,,IF($D$9=1,{"jtb.opcconscontr=2"},{"jtb.opcconscontr=3"})),"-")</f>
        <v>49621000</v>
      </c>
      <c r="F210" s="38">
        <f>IFERROR(_xll.ECONOMATICA($C$5,"EBIT",,F$199,,,,$C$7,,,,IF($D$9=1,{"jtb.opcconscontr=2"},{"jtb.opcconscontr=3"})),"-")</f>
        <v>210831000</v>
      </c>
    </row>
    <row r="211" spans="2:6" ht="15" customHeight="1">
      <c r="B211" s="97" t="s">
        <v>198</v>
      </c>
      <c r="C211" s="98"/>
      <c r="D211" s="42">
        <f>IFERROR(_xll.ECONOMATICA($C$5,"NetFinInc",,D$199,,,,$C$7,,,,IF($D$9=1,{"jtb.opcconscontr=2"},{"jtb.opcconscontr=3"})),"-")</f>
        <v>-34459000</v>
      </c>
      <c r="E211" s="42">
        <f>IFERROR(_xll.ECONOMATICA($C$5,"NetFinInc",,E$199,,,,$C$7,,,,IF($D$9=1,{"jtb.opcconscontr=2"},{"jtb.opcconscontr=3"})),"-")</f>
        <v>-49584000</v>
      </c>
      <c r="F211" s="43">
        <f>IFERROR(_xll.ECONOMATICA($C$5,"NetFinInc",,F$199,,,,$C$7,,,,IF($D$9=1,{"jtb.opcconscontr=2"},{"jtb.opcconscontr=3"})),"-")</f>
        <v>-59256000</v>
      </c>
    </row>
    <row r="212" spans="2:6" ht="15" customHeight="1">
      <c r="B212" s="83" t="s">
        <v>199</v>
      </c>
      <c r="C212" s="84"/>
      <c r="D212" s="20">
        <f>IFERROR(_xll.ECONOMATICA($C$5,"Financ Inc",,D$199,,,,$C$7,,,,IF($D$9=1,{"jtb.opcconscontr=2"},{"jtb.opcconscontr=3"})),"-")</f>
        <v>5271000</v>
      </c>
      <c r="E212" s="20">
        <f>IFERROR(_xll.ECONOMATICA($C$5,"Financ Inc",,E$199,,,,$C$7,,,,IF($D$9=1,{"jtb.opcconscontr=2"},{"jtb.opcconscontr=3"})),"-")</f>
        <v>2821000</v>
      </c>
      <c r="F212" s="16">
        <f>IFERROR(_xll.ECONOMATICA($C$5,"Financ Inc",,F$199,,,,$C$7,,,,IF($D$9=1,{"jtb.opcconscontr=2"},{"jtb.opcconscontr=3"})),"-")</f>
        <v>4458000</v>
      </c>
    </row>
    <row r="213" spans="2:6" ht="15" customHeight="1">
      <c r="B213" s="85" t="s">
        <v>200</v>
      </c>
      <c r="C213" s="86"/>
      <c r="D213" s="27">
        <f>IFERROR(_xll.ECONOMATICA($C$5,"Financ Exp",,D$199,,,,$C$7,,,,IF($D$9=1,{"jtb.opcconscontr=2"},{"jtb.opcconscontr=3"})),"-")</f>
        <v>39730000</v>
      </c>
      <c r="E213" s="27">
        <f>IFERROR(_xll.ECONOMATICA($C$5,"Financ Exp",,E$199,,,,$C$7,,,,IF($D$9=1,{"jtb.opcconscontr=2"},{"jtb.opcconscontr=3"})),"-")</f>
        <v>52405000</v>
      </c>
      <c r="F213" s="29">
        <f>IFERROR(_xll.ECONOMATICA($C$5,"Financ Exp",,F$199,,,,$C$7,,,,IF($D$9=1,{"jtb.opcconscontr=2"},{"jtb.opcconscontr=3"})),"-")</f>
        <v>63714000</v>
      </c>
    </row>
    <row r="214" spans="2:6" ht="15" customHeight="1">
      <c r="B214" s="95" t="s">
        <v>201</v>
      </c>
      <c r="C214" s="96"/>
      <c r="D214" s="40">
        <f>IFERROR(_xll.ECONOMATICA($C$5,"Pretax Income",,D$199,,,,$C$7,,,,IF($D$9=1,{"jtb.opcconscontr=2"},{"jtb.opcconscontr=3"})),"-")</f>
        <v>47242000</v>
      </c>
      <c r="E214" s="40">
        <f>IFERROR(_xll.ECONOMATICA($C$5,"Pretax Income",,E$199,,,,$C$7,,,,IF($D$9=1,{"jtb.opcconscontr=2"},{"jtb.opcconscontr=3"})),"-")</f>
        <v>37000</v>
      </c>
      <c r="F214" s="38">
        <f>IFERROR(_xll.ECONOMATICA($C$5,"Pretax Income",,F$199,,,,$C$7,,,,IF($D$9=1,{"jtb.opcconscontr=2"},{"jtb.opcconscontr=3"})),"-")</f>
        <v>151575000</v>
      </c>
    </row>
    <row r="215" spans="2:6" ht="15" customHeight="1">
      <c r="B215" s="97" t="s">
        <v>202</v>
      </c>
      <c r="C215" s="98"/>
      <c r="D215" s="42">
        <f>IFERROR(_xll.ECONOMATICA($C$5,"InTx&amp;SoCo",,D$199,,,,$C$7,,,,IF($D$9=1,{"jtb.opcconscontr=2"},{"jtb.opcconscontr=3"})),"-")</f>
        <v>16400000</v>
      </c>
      <c r="E215" s="42">
        <f>IFERROR(_xll.ECONOMATICA($C$5,"InTx&amp;SoCo",,E$199,,,,$C$7,,,,IF($D$9=1,{"jtb.opcconscontr=2"},{"jtb.opcconscontr=3"})),"-")</f>
        <v>-6209000</v>
      </c>
      <c r="F215" s="43">
        <f>IFERROR(_xll.ECONOMATICA($C$5,"InTx&amp;SoCo",,F$199,,,,$C$7,,,,IF($D$9=1,{"jtb.opcconscontr=2"},{"jtb.opcconscontr=3"})),"-")</f>
        <v>44311000</v>
      </c>
    </row>
    <row r="216" spans="2:6" ht="15" customHeight="1">
      <c r="B216" s="83" t="s">
        <v>203</v>
      </c>
      <c r="C216" s="84"/>
      <c r="D216" s="20">
        <f>IFERROR(_xll.ECONOMATICA($C$5,"Income Tax",,D$199,,,,$C$7,,,,IF($D$9=1,{"jtb.opcconscontr=2"},{"jtb.opcconscontr=3"})),"-")</f>
        <v>5364000</v>
      </c>
      <c r="E216" s="20">
        <f>IFERROR(_xll.ECONOMATICA($C$5,"Income Tax",,E$199,,,,$C$7,,,,IF($D$9=1,{"jtb.opcconscontr=2"},{"jtb.opcconscontr=3"})),"-")</f>
        <v>2731000</v>
      </c>
      <c r="F216" s="16">
        <f>IFERROR(_xll.ECONOMATICA($C$5,"Income Tax",,F$199,,,,$C$7,,,,IF($D$9=1,{"jtb.opcconscontr=2"},{"jtb.opcconscontr=3"})),"-")</f>
        <v>22667000</v>
      </c>
    </row>
    <row r="217" spans="2:6" ht="15" customHeight="1">
      <c r="B217" s="85" t="s">
        <v>204</v>
      </c>
      <c r="C217" s="86"/>
      <c r="D217" s="27">
        <f>IFERROR(_xll.ECONOMATICA($C$5,"DeInTa",,D$199,,,,$C$7,,,,IF($D$9=1,{"jtb.opcconscontr=2"},{"jtb.opcconscontr=3"})),"-")</f>
        <v>11036000</v>
      </c>
      <c r="E217" s="27">
        <f>IFERROR(_xll.ECONOMATICA($C$5,"DeInTa",,E$199,,,,$C$7,,,,IF($D$9=1,{"jtb.opcconscontr=2"},{"jtb.opcconscontr=3"})),"-")</f>
        <v>-8940000</v>
      </c>
      <c r="F217" s="29">
        <f>IFERROR(_xll.ECONOMATICA($C$5,"DeInTa",,F$199,,,,$C$7,,,,IF($D$9=1,{"jtb.opcconscontr=2"},{"jtb.opcconscontr=3"})),"-")</f>
        <v>21644000</v>
      </c>
    </row>
    <row r="218" spans="2:6" ht="15" customHeight="1">
      <c r="B218" s="95" t="s">
        <v>205</v>
      </c>
      <c r="C218" s="96"/>
      <c r="D218" s="40">
        <f>IFERROR(_xll.ECONOMATICA($C$5,"Income Cont Oper",,D$199,,,,$C$7,,,,IF($D$9=1,{"jtb.opcconscontr=2"},{"jtb.opcconscontr=3"})),"-")</f>
        <v>30842000</v>
      </c>
      <c r="E218" s="40">
        <f>IFERROR(_xll.ECONOMATICA($C$5,"Income Cont Oper",,E$199,,,,$C$7,,,,IF($D$9=1,{"jtb.opcconscontr=2"},{"jtb.opcconscontr=3"})),"-")</f>
        <v>6246000</v>
      </c>
      <c r="F218" s="38">
        <f>IFERROR(_xll.ECONOMATICA($C$5,"Income Cont Oper",,F$199,,,,$C$7,,,,IF($D$9=1,{"jtb.opcconscontr=2"},{"jtb.opcconscontr=3"})),"-")</f>
        <v>107264000</v>
      </c>
    </row>
    <row r="219" spans="2:6" ht="15" customHeight="1">
      <c r="B219" s="97" t="s">
        <v>206</v>
      </c>
      <c r="C219" s="98"/>
      <c r="D219" s="42">
        <f>IFERROR(_xll.ECONOMATICA($C$5,"Discont Oper",,D$199,,,,$C$7,,,,IF($D$9=1,{"jtb.opcconscontr=2"},{"jtb.opcconscontr=3"})),"-")</f>
        <v>10128000</v>
      </c>
      <c r="E219" s="42">
        <f>IFERROR(_xll.ECONOMATICA($C$5,"Discont Oper",,E$199,,,,$C$7,,,,IF($D$9=1,{"jtb.opcconscontr=2"},{"jtb.opcconscontr=3"})),"-")</f>
        <v>0</v>
      </c>
      <c r="F219" s="43">
        <f>IFERROR(_xll.ECONOMATICA($C$5,"Discont Oper",,F$199,,,,$C$7,,,,IF($D$9=1,{"jtb.opcconscontr=2"},{"jtb.opcconscontr=3"})),"-")</f>
        <v>0</v>
      </c>
    </row>
    <row r="220" spans="2:6" ht="15" customHeight="1">
      <c r="B220" s="83" t="s">
        <v>207</v>
      </c>
      <c r="C220" s="84"/>
      <c r="D220" s="20">
        <f>IFERROR(_xll.ECONOMATICA($C$5,"PrOrLoDisOp",,D$199,,,,$C$7,,,,IF($D$9=1,{"jtb.opcconscontr=2"},{"jtb.opcconscontr=3"})),"-")</f>
        <v>10128000</v>
      </c>
      <c r="E220" s="20">
        <f>IFERROR(_xll.ECONOMATICA($C$5,"PrOrLoDisOp",,E$199,,,,$C$7,,,,IF($D$9=1,{"jtb.opcconscontr=2"},{"jtb.opcconscontr=3"})),"-")</f>
        <v>0</v>
      </c>
      <c r="F220" s="16">
        <f>IFERROR(_xll.ECONOMATICA($C$5,"PrOrLoDisOp",,F$199,,,,$C$7,,,,IF($D$9=1,{"jtb.opcconscontr=2"},{"jtb.opcconscontr=3"})),"-")</f>
        <v>0</v>
      </c>
    </row>
    <row r="221" spans="2:6" ht="15" customHeight="1">
      <c r="B221" s="85" t="s">
        <v>208</v>
      </c>
      <c r="C221" s="86"/>
      <c r="D221" s="27">
        <f>IFERROR(_xll.ECONOMATICA($C$5,"NetGOrLAsDiOp",,D$199,,,,$C$7,,,,IF($D$9=1,{"jtb.opcconscontr=2"},{"jtb.opcconscontr=3"})),"-")</f>
        <v>0</v>
      </c>
      <c r="E221" s="27">
        <f>IFERROR(_xll.ECONOMATICA($C$5,"NetGOrLAsDiOp",,E$199,,,,$C$7,,,,IF($D$9=1,{"jtb.opcconscontr=2"},{"jtb.opcconscontr=3"})),"-")</f>
        <v>0</v>
      </c>
      <c r="F221" s="29">
        <f>IFERROR(_xll.ECONOMATICA($C$5,"NetGOrLAsDiOp",,F$199,,,,$C$7,,,,IF($D$9=1,{"jtb.opcconscontr=2"},{"jtb.opcconscontr=3"})),"-")</f>
        <v>0</v>
      </c>
    </row>
    <row r="222" spans="2:6" ht="15" customHeight="1">
      <c r="B222" s="95" t="s">
        <v>209</v>
      </c>
      <c r="C222" s="96"/>
      <c r="D222" s="40">
        <f>IFERROR(_xll.ECONOMATICA($C$5,"Consol Net Inc",,D$199,,,,$C$7,,,,IF($D$9=1,{"jtb.opcconscontr=2"},{"jtb.opcconscontr=3"})),"-")</f>
        <v>40970000</v>
      </c>
      <c r="E222" s="40">
        <f>IFERROR(_xll.ECONOMATICA($C$5,"Consol Net Inc",,E$199,,,,$C$7,,,,IF($D$9=1,{"jtb.opcconscontr=2"},{"jtb.opcconscontr=3"})),"-")</f>
        <v>6246000</v>
      </c>
      <c r="F222" s="38">
        <f>IFERROR(_xll.ECONOMATICA($C$5,"Consol Net Inc",,F$199,,,,$C$7,,,,IF($D$9=1,{"jtb.opcconscontr=2"},{"jtb.opcconscontr=3"})),"-")</f>
        <v>107264000</v>
      </c>
    </row>
    <row r="223" spans="2:6" ht="15" customHeight="1">
      <c r="B223" s="97" t="s">
        <v>210</v>
      </c>
      <c r="C223" s="98"/>
      <c r="D223" s="42">
        <f>IFERROR(_xll.ECONOMATICA($C$5,"MinorInter",,D$199,,,,$C$7,,,,IF($D$9=1,{"jtb.opcconscontr=2"},{"jtb.opcconscontr=3"})),"-")</f>
        <v>833000</v>
      </c>
      <c r="E223" s="42">
        <f>IFERROR(_xll.ECONOMATICA($C$5,"MinorInter",,E$199,,,,$C$7,,,,IF($D$9=1,{"jtb.opcconscontr=2"},{"jtb.opcconscontr=3"})),"-")</f>
        <v>-862000</v>
      </c>
      <c r="F223" s="43">
        <f>IFERROR(_xll.ECONOMATICA($C$5,"MinorInter",,F$199,,,,$C$7,,,,IF($D$9=1,{"jtb.opcconscontr=2"},{"jtb.opcconscontr=3"})),"-")</f>
        <v>596000</v>
      </c>
    </row>
    <row r="224" spans="2:6" ht="15" customHeight="1" thickBot="1">
      <c r="B224" s="99" t="s">
        <v>211</v>
      </c>
      <c r="C224" s="100"/>
      <c r="D224" s="41">
        <f>IFERROR(_xll.ECONOMATICA($C$5,"Net Income",,D$199,,,,$C$7,,,,IF($D$9=1,{"jtb.opcconscontr=2"},{"jtb.opcconscontr=3"})),"-")</f>
        <v>40137000</v>
      </c>
      <c r="E224" s="41">
        <f>IFERROR(_xll.ECONOMATICA($C$5,"Net Income",,E$199,,,,$C$7,,,,IF($D$9=1,{"jtb.opcconscontr=2"},{"jtb.opcconscontr=3"})),"-")</f>
        <v>7108000</v>
      </c>
      <c r="F224" s="39">
        <f>IFERROR(_xll.ECONOMATICA($C$5,"Net Income",,F$199,,,,$C$7,,,,IF($D$9=1,{"jtb.opcconscontr=2"},{"jtb.opcconscontr=3"})),"-")</f>
        <v>106668000</v>
      </c>
    </row>
    <row r="225" spans="2:6" ht="15" customHeight="1" thickTop="1"/>
    <row r="226" spans="2:6" ht="15" customHeight="1" thickBot="1">
      <c r="B226" s="72" t="s">
        <v>212</v>
      </c>
      <c r="C226" s="72"/>
      <c r="D226" s="72"/>
      <c r="E226" s="72"/>
      <c r="F226" s="72"/>
    </row>
    <row r="227" spans="2:6" ht="15" customHeight="1" thickTop="1">
      <c r="B227" s="6"/>
      <c r="C227" s="6"/>
    </row>
    <row r="228" spans="2:6" ht="16.149999999999999" thickBot="1">
      <c r="B228" s="81" t="s">
        <v>213</v>
      </c>
      <c r="C228" s="82"/>
      <c r="D228" s="36">
        <f>$D$16</f>
        <v>43830</v>
      </c>
      <c r="E228" s="36">
        <f>$E$16</f>
        <v>44196</v>
      </c>
      <c r="F228" s="37">
        <f>$F$16</f>
        <v>44561</v>
      </c>
    </row>
    <row r="229" spans="2:6" ht="14.45" thickTop="1">
      <c r="B229" s="101" t="s">
        <v>214</v>
      </c>
      <c r="C229" s="102"/>
      <c r="D229" s="19">
        <f>IFERROR(_xll.ECONOMATICA($C$5,"Tot Cash Ope Act",,D$228,,,,$C$7,,,,IF($D$9=1,{"jtb.opcconscontr=2"},{"jtb.opcconscontr=3"})),"-")</f>
        <v>101766000</v>
      </c>
      <c r="E229" s="19">
        <f>IFERROR(_xll.ECONOMATICA($C$5,"Tot Cash Ope Act",,E$228,,,,$C$7,,,,IF($D$9=1,{"jtb.opcconscontr=2"},{"jtb.opcconscontr=3"})),"-")</f>
        <v>148106000</v>
      </c>
      <c r="F229" s="14">
        <f>IFERROR(_xll.ECONOMATICA($C$5,"Tot Cash Ope Act",,F$228,,,,$C$7,,,,IF($D$9=1,{"jtb.opcconscontr=2"},{"jtb.opcconscontr=3"})),"-")</f>
        <v>203126000</v>
      </c>
    </row>
    <row r="230" spans="2:6">
      <c r="B230" s="89" t="s">
        <v>215</v>
      </c>
      <c r="C230" s="90"/>
      <c r="D230" s="27">
        <f>IFERROR(_xll.ECONOMATICA($C$5,"CshGenOp",,D$228,,,,$C$7,,,,IF($D$9=1,{"jtb.opcconscontr=2"},{"jtb.opcconscontr=3"})),"-")</f>
        <v>134697000</v>
      </c>
      <c r="E230" s="27">
        <f>IFERROR(_xll.ECONOMATICA($C$5,"CshGenOp",,E$228,,,,$C$7,,,,IF($D$9=1,{"jtb.opcconscontr=2"},{"jtb.opcconscontr=3"})),"-")</f>
        <v>134827000</v>
      </c>
      <c r="F230" s="29">
        <f>IFERROR(_xll.ECONOMATICA($C$5,"CshGenOp",,F$228,,,,$C$7,,,,IF($D$9=1,{"jtb.opcconscontr=2"},{"jtb.opcconscontr=3"})),"-")</f>
        <v>218158000</v>
      </c>
    </row>
    <row r="231" spans="2:6">
      <c r="B231" s="83" t="s">
        <v>216</v>
      </c>
      <c r="C231" s="84"/>
      <c r="D231" s="20">
        <f>IFERROR(_xll.ECONOMATICA($C$5,"Net Inc",,D$228,,,,$C$7,,,,IF($D$9=1,{"jtb.opcconscontr=2"},{"jtb.opcconscontr=3"})),"-")</f>
        <v>40970000</v>
      </c>
      <c r="E231" s="20">
        <f>IFERROR(_xll.ECONOMATICA($C$5,"Net Inc",,E$228,,,,$C$7,,,,IF($D$9=1,{"jtb.opcconscontr=2"},{"jtb.opcconscontr=3"})),"-")</f>
        <v>6246000</v>
      </c>
      <c r="F231" s="16">
        <f>IFERROR(_xll.ECONOMATICA($C$5,"Net Inc",,F$228,,,,$C$7,,,,IF($D$9=1,{"jtb.opcconscontr=2"},{"jtb.opcconscontr=3"})),"-")</f>
        <v>107264000</v>
      </c>
    </row>
    <row r="232" spans="2:6">
      <c r="B232" s="85" t="s">
        <v>217</v>
      </c>
      <c r="C232" s="86"/>
      <c r="D232" s="27">
        <f>IFERROR(_xll.ECONOMATICA($C$5,"DepAmortDepl",,D$228,,,,$C$7,,,,IF($D$9=1,{"jtb.opcconscontr=2"},{"jtb.opcconscontr=3"})),"-")</f>
        <v>58502000</v>
      </c>
      <c r="E232" s="27">
        <f>IFERROR(_xll.ECONOMATICA($C$5,"DepAmortDepl",,E$228,,,,$C$7,,,,IF($D$9=1,{"jtb.opcconscontr=2"},{"jtb.opcconscontr=3"})),"-")</f>
        <v>58305000</v>
      </c>
      <c r="F232" s="29">
        <f>IFERROR(_xll.ECONOMATICA($C$5,"DepAmortDepl",,F$228,,,,$C$7,,,,IF($D$9=1,{"jtb.opcconscontr=2"},{"jtb.opcconscontr=3"})),"-")</f>
        <v>63048000</v>
      </c>
    </row>
    <row r="233" spans="2:6">
      <c r="B233" s="83" t="s">
        <v>218</v>
      </c>
      <c r="C233" s="84"/>
      <c r="D233" s="20">
        <f>IFERROR(_xll.ECONOMATICA($C$5,"FX&amp;monet chg",,D$228,,,,$C$7,,,,IF($D$9=1,{"jtb.opcconscontr=2"},{"jtb.opcconscontr=3"})),"-")</f>
        <v>33259000</v>
      </c>
      <c r="E233" s="20">
        <f>IFERROR(_xll.ECONOMATICA($C$5,"FX&amp;monet chg",,E$228,,,,$C$7,,,,IF($D$9=1,{"jtb.opcconscontr=2"},{"jtb.opcconscontr=3"})),"-")</f>
        <v>57422000</v>
      </c>
      <c r="F233" s="16">
        <f>IFERROR(_xll.ECONOMATICA($C$5,"FX&amp;monet chg",,F$228,,,,$C$7,,,,IF($D$9=1,{"jtb.opcconscontr=2"},{"jtb.opcconscontr=3"})),"-")</f>
        <v>58391000</v>
      </c>
    </row>
    <row r="234" spans="2:6">
      <c r="B234" s="85" t="s">
        <v>219</v>
      </c>
      <c r="C234" s="86"/>
      <c r="D234" s="27">
        <f>IFERROR(_xll.ECONOMATICA($C$5,"SalPerAst",,D$228,,,,$C$7,,,,IF($D$9=1,{"jtb.opcconscontr=2"},{"jtb.opcconscontr=3"})),"-")</f>
        <v>0</v>
      </c>
      <c r="E234" s="27">
        <f>IFERROR(_xll.ECONOMATICA($C$5,"SalPerAst",,E$228,,,,$C$7,,,,IF($D$9=1,{"jtb.opcconscontr=2"},{"jtb.opcconscontr=3"})),"-")</f>
        <v>0</v>
      </c>
      <c r="F234" s="29">
        <f>IFERROR(_xll.ECONOMATICA($C$5,"SalPerAst",,F$228,,,,$C$7,,,,IF($D$9=1,{"jtb.opcconscontr=2"},{"jtb.opcconscontr=3"})),"-")</f>
        <v>0</v>
      </c>
    </row>
    <row r="235" spans="2:6">
      <c r="B235" s="83" t="s">
        <v>220</v>
      </c>
      <c r="C235" s="84"/>
      <c r="D235" s="20">
        <f>IFERROR(_xll.ECONOMATICA($C$5,"Sold Ast",,D$228,,,,$C$7,,,,IF($D$9=1,{"jtb.opcconscontr=2"},{"jtb.opcconscontr=3"})),"-")</f>
        <v>-22420000</v>
      </c>
      <c r="E235" s="20">
        <f>IFERROR(_xll.ECONOMATICA($C$5,"Sold Ast",,E$228,,,,$C$7,,,,IF($D$9=1,{"jtb.opcconscontr=2"},{"jtb.opcconscontr=3"})),"-")</f>
        <v>-105000</v>
      </c>
      <c r="F235" s="16">
        <f>IFERROR(_xll.ECONOMATICA($C$5,"Sold Ast",,F$228,,,,$C$7,,,,IF($D$9=1,{"jtb.opcconscontr=2"},{"jtb.opcconscontr=3"})),"-")</f>
        <v>-9304000</v>
      </c>
    </row>
    <row r="236" spans="2:6">
      <c r="B236" s="85" t="s">
        <v>221</v>
      </c>
      <c r="C236" s="86"/>
      <c r="D236" s="27">
        <f>IFERROR(_xll.ECONOMATICA($C$5,"Loss(Ga)Subs",,D$228,,,,$C$7,,,,IF($D$9=1,{"jtb.opcconscontr=2"},{"jtb.opcconscontr=3"})),"-")</f>
        <v>-547000</v>
      </c>
      <c r="E236" s="27">
        <f>IFERROR(_xll.ECONOMATICA($C$5,"Loss(Ga)Subs",,E$228,,,,$C$7,,,,IF($D$9=1,{"jtb.opcconscontr=2"},{"jtb.opcconscontr=3"})),"-")</f>
        <v>3272000</v>
      </c>
      <c r="F236" s="29">
        <f>IFERROR(_xll.ECONOMATICA($C$5,"Loss(Ga)Subs",,F$228,,,,$C$7,,,,IF($D$9=1,{"jtb.opcconscontr=2"},{"jtb.opcconscontr=3"})),"-")</f>
        <v>-8427000</v>
      </c>
    </row>
    <row r="237" spans="2:6">
      <c r="B237" s="83" t="s">
        <v>222</v>
      </c>
      <c r="C237" s="84"/>
      <c r="D237" s="20">
        <f>IFERROR(_xll.ECONOMATICA($C$5,"Def Tax",,D$228,,,,$C$7,,,,IF($D$9=1,{"jtb.opcconscontr=2"},{"jtb.opcconscontr=3"})),"-")</f>
        <v>11036000</v>
      </c>
      <c r="E237" s="20">
        <f>IFERROR(_xll.ECONOMATICA($C$5,"Def Tax",,E$228,,,,$C$7,,,,IF($D$9=1,{"jtb.opcconscontr=2"},{"jtb.opcconscontr=3"})),"-")</f>
        <v>-8940000</v>
      </c>
      <c r="F237" s="16">
        <f>IFERROR(_xll.ECONOMATICA($C$5,"Def Tax",,F$228,,,,$C$7,,,,IF($D$9=1,{"jtb.opcconscontr=2"},{"jtb.opcconscontr=3"})),"-")</f>
        <v>21644000</v>
      </c>
    </row>
    <row r="238" spans="2:6">
      <c r="B238" s="85" t="s">
        <v>223</v>
      </c>
      <c r="C238" s="86"/>
      <c r="D238" s="27">
        <f>IFERROR(_xll.ECONOMATICA($C$5,"Min Gain",,D$228,,,,$C$7,,,,IF($D$9=1,{"jtb.opcconscontr=2"},{"jtb.opcconscontr=3"})),"-")</f>
        <v>0</v>
      </c>
      <c r="E238" s="27">
        <f>IFERROR(_xll.ECONOMATICA($C$5,"Min Gain",,E$228,,,,$C$7,,,,IF($D$9=1,{"jtb.opcconscontr=2"},{"jtb.opcconscontr=3"})),"-")</f>
        <v>0</v>
      </c>
      <c r="F238" s="29">
        <f>IFERROR(_xll.ECONOMATICA($C$5,"Min Gain",,F$228,,,,$C$7,,,,IF($D$9=1,{"jtb.opcconscontr=2"},{"jtb.opcconscontr=3"})),"-")</f>
        <v>0</v>
      </c>
    </row>
    <row r="239" spans="2:6">
      <c r="B239" s="83" t="s">
        <v>224</v>
      </c>
      <c r="C239" s="84"/>
      <c r="D239" s="20">
        <f>IFERROR(_xll.ECONOMATICA($C$5,"NoCshExp",,D$228,,,,$C$7,,,,IF($D$9=1,{"jtb.opcconscontr=2"},{"jtb.opcconscontr=3"})),"-")</f>
        <v>13897000</v>
      </c>
      <c r="E239" s="20">
        <f>IFERROR(_xll.ECONOMATICA($C$5,"NoCshExp",,E$228,,,,$C$7,,,,IF($D$9=1,{"jtb.opcconscontr=2"},{"jtb.opcconscontr=3"})),"-")</f>
        <v>18627000</v>
      </c>
      <c r="F239" s="16">
        <f>IFERROR(_xll.ECONOMATICA($C$5,"NoCshExp",,F$228,,,,$C$7,,,,IF($D$9=1,{"jtb.opcconscontr=2"},{"jtb.opcconscontr=3"})),"-")</f>
        <v>-14458000</v>
      </c>
    </row>
    <row r="240" spans="2:6">
      <c r="B240" s="89" t="s">
        <v>225</v>
      </c>
      <c r="C240" s="90"/>
      <c r="D240" s="27">
        <f>IFERROR(_xll.ECONOMATICA($C$5,"DecAsLiab",,D$228,,,,$C$7,,,,IF($D$9=1,{"jtb.opcconscontr=2"},{"jtb.opcconscontr=3"})),"-")</f>
        <v>-32931000</v>
      </c>
      <c r="E240" s="27">
        <f>IFERROR(_xll.ECONOMATICA($C$5,"DecAsLiab",,E$228,,,,$C$7,,,,IF($D$9=1,{"jtb.opcconscontr=2"},{"jtb.opcconscontr=3"})),"-")</f>
        <v>13279000</v>
      </c>
      <c r="F240" s="29">
        <f>IFERROR(_xll.ECONOMATICA($C$5,"DecAsLiab",,F$228,,,,$C$7,,,,IF($D$9=1,{"jtb.opcconscontr=2"},{"jtb.opcconscontr=3"})),"-")</f>
        <v>-15032000</v>
      </c>
    </row>
    <row r="241" spans="2:6">
      <c r="B241" s="83" t="s">
        <v>226</v>
      </c>
      <c r="C241" s="84"/>
      <c r="D241" s="20">
        <f>IFERROR(_xll.ECONOMATICA($C$5,"Dec Receiv",,D$228,,,,$C$7,,,,IF($D$9=1,{"jtb.opcconscontr=2"},{"jtb.opcconscontr=3"})),"-")</f>
        <v>8578000</v>
      </c>
      <c r="E241" s="20">
        <f>IFERROR(_xll.ECONOMATICA($C$5,"Dec Receiv",,E$228,,,,$C$7,,,,IF($D$9=1,{"jtb.opcconscontr=2"},{"jtb.opcconscontr=3"})),"-")</f>
        <v>-913000</v>
      </c>
      <c r="F241" s="16">
        <f>IFERROR(_xll.ECONOMATICA($C$5,"Dec Receiv",,F$228,,,,$C$7,,,,IF($D$9=1,{"jtb.opcconscontr=2"},{"jtb.opcconscontr=3"})),"-")</f>
        <v>-10783000</v>
      </c>
    </row>
    <row r="242" spans="2:6">
      <c r="B242" s="85" t="s">
        <v>227</v>
      </c>
      <c r="C242" s="86"/>
      <c r="D242" s="27">
        <f>IFERROR(_xll.ECONOMATICA($C$5,"Decr Invent",,D$228,,,,$C$7,,,,IF($D$9=1,{"jtb.opcconscontr=2"},{"jtb.opcconscontr=3"})),"-")</f>
        <v>-1208000</v>
      </c>
      <c r="E242" s="27">
        <f>IFERROR(_xll.ECONOMATICA($C$5,"Decr Invent",,E$228,,,,$C$7,,,,IF($D$9=1,{"jtb.opcconscontr=2"},{"jtb.opcconscontr=3"})),"-")</f>
        <v>4309000</v>
      </c>
      <c r="F242" s="29">
        <f>IFERROR(_xll.ECONOMATICA($C$5,"Decr Invent",,F$228,,,,$C$7,,,,IF($D$9=1,{"jtb.opcconscontr=2"},{"jtb.opcconscontr=3"})),"-")</f>
        <v>-12651000</v>
      </c>
    </row>
    <row r="243" spans="2:6">
      <c r="B243" s="83" t="s">
        <v>228</v>
      </c>
      <c r="C243" s="84"/>
      <c r="D243" s="20">
        <f>IFERROR(_xll.ECONOMATICA($C$5,"DecOthAst",,D$228,,,,$C$7,,,,IF($D$9=1,{"jtb.opcconscontr=2"},{"jtb.opcconscontr=3"})),"-")</f>
        <v>-1658000</v>
      </c>
      <c r="E243" s="20">
        <f>IFERROR(_xll.ECONOMATICA($C$5,"DecOthAst",,E$228,,,,$C$7,,,,IF($D$9=1,{"jtb.opcconscontr=2"},{"jtb.opcconscontr=3"})),"-")</f>
        <v>-3123000</v>
      </c>
      <c r="F243" s="16">
        <f>IFERROR(_xll.ECONOMATICA($C$5,"DecOthAst",,F$228,,,,$C$7,,,,IF($D$9=1,{"jtb.opcconscontr=2"},{"jtb.opcconscontr=3"})),"-")</f>
        <v>-7325000</v>
      </c>
    </row>
    <row r="244" spans="2:6">
      <c r="B244" s="85" t="s">
        <v>229</v>
      </c>
      <c r="C244" s="86"/>
      <c r="D244" s="27">
        <f>IFERROR(_xll.ECONOMATICA($C$5,"Incr Supp",,D$228,,,,$C$7,,,,IF($D$9=1,{"jtb.opcconscontr=2"},{"jtb.opcconscontr=3"})),"-")</f>
        <v>-3821000</v>
      </c>
      <c r="E244" s="27">
        <f>IFERROR(_xll.ECONOMATICA($C$5,"Incr Supp",,E$228,,,,$C$7,,,,IF($D$9=1,{"jtb.opcconscontr=2"},{"jtb.opcconscontr=3"})),"-")</f>
        <v>2178000</v>
      </c>
      <c r="F244" s="29">
        <f>IFERROR(_xll.ECONOMATICA($C$5,"Incr Supp",,F$228,,,,$C$7,,,,IF($D$9=1,{"jtb.opcconscontr=2"},{"jtb.opcconscontr=3"})),"-")</f>
        <v>5667000</v>
      </c>
    </row>
    <row r="245" spans="2:6">
      <c r="B245" s="83" t="s">
        <v>230</v>
      </c>
      <c r="C245" s="84"/>
      <c r="D245" s="20">
        <f>IFERROR(_xll.ECONOMATICA($C$5,"Incr tax",,D$228,,,,$C$7,,,,IF($D$9=1,{"jtb.opcconscontr=2"},{"jtb.opcconscontr=3"})),"-")</f>
        <v>-15136000</v>
      </c>
      <c r="E245" s="20">
        <f>IFERROR(_xll.ECONOMATICA($C$5,"Incr tax",,E$228,,,,$C$7,,,,IF($D$9=1,{"jtb.opcconscontr=2"},{"jtb.opcconscontr=3"})),"-")</f>
        <v>15157000</v>
      </c>
      <c r="F245" s="16">
        <f>IFERROR(_xll.ECONOMATICA($C$5,"Incr tax",,F$228,,,,$C$7,,,,IF($D$9=1,{"jtb.opcconscontr=2"},{"jtb.opcconscontr=3"})),"-")</f>
        <v>12276000</v>
      </c>
    </row>
    <row r="246" spans="2:6">
      <c r="B246" s="85" t="s">
        <v>231</v>
      </c>
      <c r="C246" s="86"/>
      <c r="D246" s="27">
        <f>IFERROR(_xll.ECONOMATICA($C$5,"Incr Ot Liab",,D$228,,,,$C$7,,,,IF($D$9=1,{"jtb.opcconscontr=2"},{"jtb.opcconscontr=3"})),"-")</f>
        <v>-19686000</v>
      </c>
      <c r="E246" s="27">
        <f>IFERROR(_xll.ECONOMATICA($C$5,"Incr Ot Liab",,E$228,,,,$C$7,,,,IF($D$9=1,{"jtb.opcconscontr=2"},{"jtb.opcconscontr=3"})),"-")</f>
        <v>-4329000</v>
      </c>
      <c r="F246" s="29">
        <f>IFERROR(_xll.ECONOMATICA($C$5,"Incr Ot Liab",,F$228,,,,$C$7,,,,IF($D$9=1,{"jtb.opcconscontr=2"},{"jtb.opcconscontr=3"})),"-")</f>
        <v>-2216000</v>
      </c>
    </row>
    <row r="247" spans="2:6">
      <c r="B247" s="87" t="s">
        <v>232</v>
      </c>
      <c r="C247" s="88"/>
      <c r="D247" s="20">
        <f>IFERROR(_xll.ECONOMATICA($C$5,"OtIOCF",,D$228,,,,$C$7,,,,IF($D$9=1,{"jtb.opcconscontr=2"},{"jtb.opcconscontr=3"})),"-")</f>
        <v>0</v>
      </c>
      <c r="E247" s="20">
        <f>IFERROR(_xll.ECONOMATICA($C$5,"OtIOCF",,E$228,,,,$C$7,,,,IF($D$9=1,{"jtb.opcconscontr=2"},{"jtb.opcconscontr=3"})),"-")</f>
        <v>0</v>
      </c>
      <c r="F247" s="16">
        <f>IFERROR(_xll.ECONOMATICA($C$5,"OtIOCF",,F$228,,,,$C$7,,,,IF($D$9=1,{"jtb.opcconscontr=2"},{"jtb.opcconscontr=3"})),"-")</f>
        <v>0</v>
      </c>
    </row>
    <row r="248" spans="2:6">
      <c r="B248" s="93" t="s">
        <v>233</v>
      </c>
      <c r="C248" s="94"/>
      <c r="D248" s="27">
        <f>IFERROR(_xll.ECONOMATICA($C$5,"Tot Cash Inv Act",,D$228,,,,$C$7,,,,IF($D$9=1,{"jtb.opcconscontr=2"},{"jtb.opcconscontr=3"})),"-")</f>
        <v>-7952000</v>
      </c>
      <c r="E248" s="27">
        <f>IFERROR(_xll.ECONOMATICA($C$5,"Tot Cash Inv Act",,E$228,,,,$C$7,,,,IF($D$9=1,{"jtb.opcconscontr=2"},{"jtb.opcconscontr=3"})),"-")</f>
        <v>-23455000</v>
      </c>
      <c r="F248" s="29">
        <f>IFERROR(_xll.ECONOMATICA($C$5,"Tot Cash Inv Act",,F$228,,,,$C$7,,,,IF($D$9=1,{"jtb.opcconscontr=2"},{"jtb.opcconscontr=3"})),"-")</f>
        <v>11073000</v>
      </c>
    </row>
    <row r="249" spans="2:6">
      <c r="B249" s="87" t="s">
        <v>234</v>
      </c>
      <c r="C249" s="88"/>
      <c r="D249" s="20">
        <f>IFERROR(_xll.ECONOMATICA($C$5,"Net Pu Per Ast",,D$228,,,,$C$7,,,,IF($D$9=1,{"jtb.opcconscontr=2"},{"jtb.opcconscontr=3"})),"-")</f>
        <v>-56131000</v>
      </c>
      <c r="E249" s="20">
        <f>IFERROR(_xll.ECONOMATICA($C$5,"Net Pu Per Ast",,E$228,,,,$C$7,,,,IF($D$9=1,{"jtb.opcconscontr=2"},{"jtb.opcconscontr=3"})),"-")</f>
        <v>-25074000</v>
      </c>
      <c r="F249" s="16">
        <f>IFERROR(_xll.ECONOMATICA($C$5,"Net Pu Per Ast",,F$228,,,,$C$7,,,,IF($D$9=1,{"jtb.opcconscontr=2"},{"jtb.opcconscontr=3"})),"-")</f>
        <v>-8769000</v>
      </c>
    </row>
    <row r="250" spans="2:6">
      <c r="B250" s="85" t="s">
        <v>235</v>
      </c>
      <c r="C250" s="86"/>
      <c r="D250" s="27" t="str">
        <f>IFERROR(_xll.ECONOMATICA($C$5,"PurPerInv",,D$228,,,,$C$7,,,,IF($D$9=1,{"jtb.opcconscontr=2"},{"jtb.opcconscontr=3"})),"-")</f>
        <v>-</v>
      </c>
      <c r="E250" s="27" t="str">
        <f>IFERROR(_xll.ECONOMATICA($C$5,"PurPerInv",,E$228,,,,$C$7,,,,IF($D$9=1,{"jtb.opcconscontr=2"},{"jtb.opcconscontr=3"})),"-")</f>
        <v>-</v>
      </c>
      <c r="F250" s="29" t="str">
        <f>IFERROR(_xll.ECONOMATICA($C$5,"PurPerInv",,F$228,,,,$C$7,,,,IF($D$9=1,{"jtb.opcconscontr=2"},{"jtb.opcconscontr=3"})),"-")</f>
        <v>-</v>
      </c>
    </row>
    <row r="251" spans="2:6">
      <c r="B251" s="83" t="s">
        <v>236</v>
      </c>
      <c r="C251" s="84"/>
      <c r="D251" s="20" t="str">
        <f>IFERROR(_xll.ECONOMATICA($C$5,"Pu fix dif",,D$228,,,,$C$7,,,,IF($D$9=1,{"jtb.opcconscontr=2"},{"jtb.opcconscontr=3"})),"-")</f>
        <v>-</v>
      </c>
      <c r="E251" s="20" t="str">
        <f>IFERROR(_xll.ECONOMATICA($C$5,"Pu fix dif",,E$228,,,,$C$7,,,,IF($D$9=1,{"jtb.opcconscontr=2"},{"jtb.opcconscontr=3"})),"-")</f>
        <v>-</v>
      </c>
      <c r="F251" s="16" t="str">
        <f>IFERROR(_xll.ECONOMATICA($C$5,"Pu fix dif",,F$228,,,,$C$7,,,,IF($D$9=1,{"jtb.opcconscontr=2"},{"jtb.opcconscontr=3"})),"-")</f>
        <v>-</v>
      </c>
    </row>
    <row r="252" spans="2:6">
      <c r="B252" s="85" t="s">
        <v>237</v>
      </c>
      <c r="C252" s="86"/>
      <c r="D252" s="27" t="str">
        <f>IFERROR(_xll.ECONOMATICA($C$5,"Sale Perm",,D$228,,,,$C$7,,,,IF($D$9=1,{"jtb.opcconscontr=2"},{"jtb.opcconscontr=3"})),"-")</f>
        <v>-</v>
      </c>
      <c r="E252" s="27" t="str">
        <f>IFERROR(_xll.ECONOMATICA($C$5,"Sale Perm",,E$228,,,,$C$7,,,,IF($D$9=1,{"jtb.opcconscontr=2"},{"jtb.opcconscontr=3"})),"-")</f>
        <v>-</v>
      </c>
      <c r="F252" s="29" t="str">
        <f>IFERROR(_xll.ECONOMATICA($C$5,"Sale Perm",,F$228,,,,$C$7,,,,IF($D$9=1,{"jtb.opcconscontr=2"},{"jtb.opcconscontr=3"})),"-")</f>
        <v>-</v>
      </c>
    </row>
    <row r="253" spans="2:6">
      <c r="B253" s="87" t="s">
        <v>238</v>
      </c>
      <c r="C253" s="88"/>
      <c r="D253" s="20">
        <f>IFERROR(_xll.ECONOMATICA($C$5,"DivFrUnco",,D$228,,,,$C$7,,,,IF($D$9=1,{"jtb.opcconscontr=2"},{"jtb.opcconscontr=3"})),"-")</f>
        <v>5732000</v>
      </c>
      <c r="E253" s="20">
        <f>IFERROR(_xll.ECONOMATICA($C$5,"DivFrUnco",,E$228,,,,$C$7,,,,IF($D$9=1,{"jtb.opcconscontr=2"},{"jtb.opcconscontr=3"})),"-")</f>
        <v>1264000</v>
      </c>
      <c r="F253" s="16">
        <f>IFERROR(_xll.ECONOMATICA($C$5,"DivFrUnco",,F$228,,,,$C$7,,,,IF($D$9=1,{"jtb.opcconscontr=2"},{"jtb.opcconscontr=3"})),"-")</f>
        <v>4333000</v>
      </c>
    </row>
    <row r="254" spans="2:6">
      <c r="B254" s="89" t="s">
        <v>239</v>
      </c>
      <c r="C254" s="90"/>
      <c r="D254" s="27">
        <f>IFERROR(_xll.ECONOMATICA($C$5,"NetSalInv",,D$228,,,,$C$7,,,,IF($D$9=1,{"jtb.opcconscontr=2"},{"jtb.opcconscontr=3"})),"-")</f>
        <v>837000</v>
      </c>
      <c r="E254" s="27">
        <f>IFERROR(_xll.ECONOMATICA($C$5,"NetSalInv",,E$228,,,,$C$7,,,,IF($D$9=1,{"jtb.opcconscontr=2"},{"jtb.opcconscontr=3"})),"-")</f>
        <v>355000</v>
      </c>
      <c r="F254" s="29">
        <f>IFERROR(_xll.ECONOMATICA($C$5,"NetSalInv",,F$228,,,,$C$7,,,,IF($D$9=1,{"jtb.opcconscontr=2"},{"jtb.opcconscontr=3"})),"-")</f>
        <v>-1000</v>
      </c>
    </row>
    <row r="255" spans="2:6">
      <c r="B255" s="87" t="s">
        <v>240</v>
      </c>
      <c r="C255" s="88"/>
      <c r="D255" s="20">
        <f>IFERROR(_xll.ECONOMATICA($C$5,"OthInvFlow",,D$228,,,,$C$7,,,,IF($D$9=1,{"jtb.opcconscontr=2"},{"jtb.opcconscontr=3"})),"-")</f>
        <v>41610000</v>
      </c>
      <c r="E255" s="20">
        <f>IFERROR(_xll.ECONOMATICA($C$5,"OthInvFlow",,E$228,,,,$C$7,,,,IF($D$9=1,{"jtb.opcconscontr=2"},{"jtb.opcconscontr=3"})),"-")</f>
        <v>0</v>
      </c>
      <c r="F255" s="16">
        <f>IFERROR(_xll.ECONOMATICA($C$5,"OthInvFlow",,F$228,,,,$C$7,,,,IF($D$9=1,{"jtb.opcconscontr=2"},{"jtb.opcconscontr=3"})),"-")</f>
        <v>15510000</v>
      </c>
    </row>
    <row r="256" spans="2:6">
      <c r="B256" s="93" t="s">
        <v>241</v>
      </c>
      <c r="C256" s="94"/>
      <c r="D256" s="27">
        <f>IFERROR(_xll.ECONOMATICA($C$5,"Tot Cash Fin Act",,D$228,,,,$C$7,,,,IF($D$9=1,{"jtb.opcconscontr=2"},{"jtb.opcconscontr=3"})),"-")</f>
        <v>-126336000</v>
      </c>
      <c r="E256" s="27">
        <f>IFERROR(_xll.ECONOMATICA($C$5,"Tot Cash Fin Act",,E$228,,,,$C$7,,,,IF($D$9=1,{"jtb.opcconscontr=2"},{"jtb.opcconscontr=3"})),"-")</f>
        <v>-101773000</v>
      </c>
      <c r="F256" s="29">
        <f>IFERROR(_xll.ECONOMATICA($C$5,"Tot Cash Fin Act",,F$228,,,,$C$7,,,,IF($D$9=1,{"jtb.opcconscontr=2"},{"jtb.opcconscontr=3"})),"-")</f>
        <v>-220297000</v>
      </c>
    </row>
    <row r="257" spans="2:6">
      <c r="B257" s="87" t="s">
        <v>242</v>
      </c>
      <c r="C257" s="88"/>
      <c r="D257" s="20">
        <f>IFERROR(_xll.ECONOMATICA($C$5,"ProcDebt",,D$228,,,,$C$7,,,,IF($D$9=1,{"jtb.opcconscontr=2"},{"jtb.opcconscontr=3"})),"-")</f>
        <v>-116217000</v>
      </c>
      <c r="E257" s="20">
        <f>IFERROR(_xll.ECONOMATICA($C$5,"ProcDebt",,E$228,,,,$C$7,,,,IF($D$9=1,{"jtb.opcconscontr=2"},{"jtb.opcconscontr=3"})),"-")</f>
        <v>-94659000</v>
      </c>
      <c r="F257" s="16">
        <f>IFERROR(_xll.ECONOMATICA($C$5,"ProcDebt",,F$228,,,,$C$7,,,,IF($D$9=1,{"jtb.opcconscontr=2"},{"jtb.opcconscontr=3"})),"-")</f>
        <v>-147457000</v>
      </c>
    </row>
    <row r="258" spans="2:6">
      <c r="B258" s="85" t="s">
        <v>243</v>
      </c>
      <c r="C258" s="86"/>
      <c r="D258" s="27">
        <f>IFERROR(_xll.ECONOMATICA($C$5,"ProcDebtr",,D$228,,,,$C$7,,,,IF($D$9=1,{"jtb.opcconscontr=2"},{"jtb.opcconscontr=3"})),"-")</f>
        <v>29156000</v>
      </c>
      <c r="E258" s="27">
        <f>IFERROR(_xll.ECONOMATICA($C$5,"ProcDebtr",,E$228,,,,$C$7,,,,IF($D$9=1,{"jtb.opcconscontr=2"},{"jtb.opcconscontr=3"})),"-")</f>
        <v>85523000</v>
      </c>
      <c r="F258" s="29">
        <f>IFERROR(_xll.ECONOMATICA($C$5,"ProcDebtr",,F$228,,,,$C$7,,,,IF($D$9=1,{"jtb.opcconscontr=2"},{"jtb.opcconscontr=3"})),"-")</f>
        <v>9647000</v>
      </c>
    </row>
    <row r="259" spans="2:6">
      <c r="B259" s="83" t="s">
        <v>244</v>
      </c>
      <c r="C259" s="84"/>
      <c r="D259" s="20">
        <f>IFERROR(_xll.ECONOMATICA($C$5,"RepayDebt",,D$228,,,,$C$7,,,,IF($D$9=1,{"jtb.opcconscontr=2"},{"jtb.opcconscontr=3"})),"-")</f>
        <v>-145373000</v>
      </c>
      <c r="E259" s="20">
        <f>IFERROR(_xll.ECONOMATICA($C$5,"RepayDebt",,E$228,,,,$C$7,,,,IF($D$9=1,{"jtb.opcconscontr=2"},{"jtb.opcconscontr=3"})),"-")</f>
        <v>-180182000</v>
      </c>
      <c r="F259" s="16">
        <f>IFERROR(_xll.ECONOMATICA($C$5,"RepayDebt",,F$228,,,,$C$7,,,,IF($D$9=1,{"jtb.opcconscontr=2"},{"jtb.opcconscontr=3"})),"-")</f>
        <v>-157104000</v>
      </c>
    </row>
    <row r="260" spans="2:6">
      <c r="B260" s="89" t="s">
        <v>245</v>
      </c>
      <c r="C260" s="90"/>
      <c r="D260" s="27">
        <f>IFERROR(_xll.ECONOMATICA($C$5,"Proc(Rep)Eqt",,D$228,,,,$C$7,,,,IF($D$9=1,{"jtb.opcconscontr=2"},{"jtb.opcconscontr=3"})),"-")</f>
        <v>0</v>
      </c>
      <c r="E260" s="27">
        <f>IFERROR(_xll.ECONOMATICA($C$5,"Proc(Rep)Eqt",,E$228,,,,$C$7,,,,IF($D$9=1,{"jtb.opcconscontr=2"},{"jtb.opcconscontr=3"})),"-")</f>
        <v>0</v>
      </c>
      <c r="F260" s="29">
        <f>IFERROR(_xll.ECONOMATICA($C$5,"Proc(Rep)Eqt",,F$228,,,,$C$7,,,,IF($D$9=1,{"jtb.opcconscontr=2"},{"jtb.opcconscontr=3"})),"-")</f>
        <v>0</v>
      </c>
    </row>
    <row r="261" spans="2:6">
      <c r="B261" s="83" t="s">
        <v>246</v>
      </c>
      <c r="C261" s="84"/>
      <c r="D261" s="20">
        <f>IFERROR(_xll.ECONOMATICA($C$5,"ProcIssuEqt",,D$228,,,,$C$7,,,,IF($D$9=1,{"jtb.opcconscontr=2"},{"jtb.opcconscontr=3"})),"-")</f>
        <v>0</v>
      </c>
      <c r="E261" s="20">
        <f>IFERROR(_xll.ECONOMATICA($C$5,"ProcIssuEqt",,E$228,,,,$C$7,,,,IF($D$9=1,{"jtb.opcconscontr=2"},{"jtb.opcconscontr=3"})),"-")</f>
        <v>0</v>
      </c>
      <c r="F261" s="16">
        <f>IFERROR(_xll.ECONOMATICA($C$5,"ProcIssuEqt",,F$228,,,,$C$7,,,,IF($D$9=1,{"jtb.opcconscontr=2"},{"jtb.opcconscontr=3"})),"-")</f>
        <v>0</v>
      </c>
    </row>
    <row r="262" spans="2:6">
      <c r="B262" s="85" t="s">
        <v>247</v>
      </c>
      <c r="C262" s="86"/>
      <c r="D262" s="27">
        <f>IFERROR(_xll.ECONOMATICA($C$5,"PayRepEqt",,D$228,,,,$C$7,,,,IF($D$9=1,{"jtb.opcconscontr=2"},{"jtb.opcconscontr=3"})),"-")</f>
        <v>0</v>
      </c>
      <c r="E262" s="27">
        <f>IFERROR(_xll.ECONOMATICA($C$5,"PayRepEqt",,E$228,,,,$C$7,,,,IF($D$9=1,{"jtb.opcconscontr=2"},{"jtb.opcconscontr=3"})),"-")</f>
        <v>0</v>
      </c>
      <c r="F262" s="29">
        <f>IFERROR(_xll.ECONOMATICA($C$5,"PayRepEqt",,F$228,,,,$C$7,,,,IF($D$9=1,{"jtb.opcconscontr=2"},{"jtb.opcconscontr=3"})),"-")</f>
        <v>0</v>
      </c>
    </row>
    <row r="263" spans="2:6">
      <c r="B263" s="87" t="s">
        <v>248</v>
      </c>
      <c r="C263" s="88"/>
      <c r="D263" s="20">
        <f>IFERROR(_xll.ECONOMATICA($C$5,"Div Paid",,D$228,,,,$C$7,,,,IF($D$9=1,{"jtb.opcconscontr=2"},{"jtb.opcconscontr=3"})),"-")</f>
        <v>-8038000</v>
      </c>
      <c r="E263" s="20">
        <f>IFERROR(_xll.ECONOMATICA($C$5,"Div Paid",,E$228,,,,$C$7,,,,IF($D$9=1,{"jtb.opcconscontr=2"},{"jtb.opcconscontr=3"})),"-")</f>
        <v>-6657000</v>
      </c>
      <c r="F263" s="16">
        <f>IFERROR(_xll.ECONOMATICA($C$5,"Div Paid",,F$228,,,,$C$7,,,,IF($D$9=1,{"jtb.opcconscontr=2"},{"jtb.opcconscontr=3"})),"-")</f>
        <v>-72718000</v>
      </c>
    </row>
    <row r="264" spans="2:6">
      <c r="B264" s="89" t="s">
        <v>249</v>
      </c>
      <c r="C264" s="90"/>
      <c r="D264" s="27">
        <f>IFERROR(_xll.ECONOMATICA($C$5,"OtFCFI",,D$228,,,,$C$7,,,,IF($D$9=1,{"jtb.opcconscontr=2"},{"jtb.opcconscontr=3"})),"-")</f>
        <v>-2081000</v>
      </c>
      <c r="E264" s="27">
        <f>IFERROR(_xll.ECONOMATICA($C$5,"OtFCFI",,E$228,,,,$C$7,,,,IF($D$9=1,{"jtb.opcconscontr=2"},{"jtb.opcconscontr=3"})),"-")</f>
        <v>-457000</v>
      </c>
      <c r="F264" s="29">
        <f>IFERROR(_xll.ECONOMATICA($C$5,"OtFCFI",,F$228,,,,$C$7,,,,IF($D$9=1,{"jtb.opcconscontr=2"},{"jtb.opcconscontr=3"})),"-")</f>
        <v>-122000</v>
      </c>
    </row>
    <row r="265" spans="2:6">
      <c r="B265" s="91" t="s">
        <v>250</v>
      </c>
      <c r="C265" s="92"/>
      <c r="D265" s="20">
        <f>IFERROR(_xll.ECONOMATICA($C$5,"Eff Exch Rate",,D$228,,,,$C$7,,,,IF($D$9=1,{"jtb.opcconscontr=2"},{"jtb.opcconscontr=3"})),"-")</f>
        <v>8397000</v>
      </c>
      <c r="E265" s="20">
        <f>IFERROR(_xll.ECONOMATICA($C$5,"Eff Exch Rate",,E$228,,,,$C$7,,,,IF($D$9=1,{"jtb.opcconscontr=2"},{"jtb.opcconscontr=3"})),"-")</f>
        <v>8323000</v>
      </c>
      <c r="F265" s="16">
        <f>IFERROR(_xll.ECONOMATICA($C$5,"Eff Exch Rate",,F$228,,,,$C$7,,,,IF($D$9=1,{"jtb.opcconscontr=2"},{"jtb.opcconscontr=3"})),"-")</f>
        <v>3650000</v>
      </c>
    </row>
    <row r="266" spans="2:6">
      <c r="B266" s="93" t="s">
        <v>251</v>
      </c>
      <c r="C266" s="94"/>
      <c r="D266" s="27">
        <f>IFERROR(_xll.ECONOMATICA($C$5,"Oth Chg",,D$228,,,,$C$7,,,,IF($D$9=1,{"jtb.opcconscontr=2"},{"jtb.opcconscontr=3"})),"-")</f>
        <v>0</v>
      </c>
      <c r="E266" s="27">
        <f>IFERROR(_xll.ECONOMATICA($C$5,"Oth Chg",,E$228,,,,$C$7,,,,IF($D$9=1,{"jtb.opcconscontr=2"},{"jtb.opcconscontr=3"})),"-")</f>
        <v>0</v>
      </c>
      <c r="F266" s="29">
        <f>IFERROR(_xll.ECONOMATICA($C$5,"Oth Chg",,F$228,,,,$C$7,,,,IF($D$9=1,{"jtb.opcconscontr=2"},{"jtb.opcconscontr=3"})),"-")</f>
        <v>0</v>
      </c>
    </row>
    <row r="267" spans="2:6" ht="14.45" thickBot="1">
      <c r="B267" s="70" t="s">
        <v>252</v>
      </c>
      <c r="C267" s="71"/>
      <c r="D267" s="21">
        <f>IFERROR(_xll.ECONOMATICA($C$5,"Net Change Cash",,D$228,,,,$C$7,,,,IF($D$9=1,{"jtb.opcconscontr=2"},{"jtb.opcconscontr=3"})),"-")</f>
        <v>-24125000</v>
      </c>
      <c r="E267" s="21">
        <f>IFERROR(_xll.ECONOMATICA($C$5,"Net Change Cash",,E$228,,,,$C$7,,,,IF($D$9=1,{"jtb.opcconscontr=2"},{"jtb.opcconscontr=3"})),"-")</f>
        <v>31201000</v>
      </c>
      <c r="F267" s="18">
        <f>IFERROR(_xll.ECONOMATICA($C$5,"Net Change Cash",,F$228,,,,$C$7,,,,IF($D$9=1,{"jtb.opcconscontr=2"},{"jtb.opcconscontr=3"})),"-")</f>
        <v>-2448000</v>
      </c>
    </row>
    <row r="268" spans="2:6" ht="14.45" thickTop="1"/>
  </sheetData>
  <dataConsolidate link="1"/>
  <mergeCells count="252"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85:C85"/>
    <mergeCell ref="B86:C86"/>
    <mergeCell ref="B87:C87"/>
    <mergeCell ref="B88:C88"/>
    <mergeCell ref="B89:C89"/>
    <mergeCell ref="B90:C90"/>
    <mergeCell ref="B77:C77"/>
    <mergeCell ref="B78:C78"/>
    <mergeCell ref="B79:C79"/>
    <mergeCell ref="B80:C80"/>
    <mergeCell ref="B81:C81"/>
    <mergeCell ref="B84:C84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93:C193"/>
    <mergeCell ref="B194:C194"/>
    <mergeCell ref="B195:C195"/>
    <mergeCell ref="B200:C200"/>
    <mergeCell ref="B201:C201"/>
    <mergeCell ref="B202:C202"/>
    <mergeCell ref="B187:C187"/>
    <mergeCell ref="B188:C188"/>
    <mergeCell ref="B189:C189"/>
    <mergeCell ref="B190:C190"/>
    <mergeCell ref="B191:C191"/>
    <mergeCell ref="B192:C192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B221:C221"/>
    <mergeCell ref="B222:C222"/>
    <mergeCell ref="B223:C223"/>
    <mergeCell ref="B224:C224"/>
    <mergeCell ref="B229:C229"/>
    <mergeCell ref="B230:C230"/>
    <mergeCell ref="B226:F226"/>
    <mergeCell ref="B228:C228"/>
    <mergeCell ref="B215:C215"/>
    <mergeCell ref="B216:C216"/>
    <mergeCell ref="B217:C217"/>
    <mergeCell ref="B218:C218"/>
    <mergeCell ref="B219:C219"/>
    <mergeCell ref="B220:C220"/>
    <mergeCell ref="B237:C237"/>
    <mergeCell ref="B238:C238"/>
    <mergeCell ref="B239:C239"/>
    <mergeCell ref="B240:C240"/>
    <mergeCell ref="B241:C241"/>
    <mergeCell ref="B242:C242"/>
    <mergeCell ref="B231:C231"/>
    <mergeCell ref="B232:C232"/>
    <mergeCell ref="B233:C233"/>
    <mergeCell ref="B234:C234"/>
    <mergeCell ref="B235:C235"/>
    <mergeCell ref="B236:C236"/>
    <mergeCell ref="B251:C251"/>
    <mergeCell ref="B252:C252"/>
    <mergeCell ref="B253:C253"/>
    <mergeCell ref="B254:C254"/>
    <mergeCell ref="B243:C243"/>
    <mergeCell ref="B244:C244"/>
    <mergeCell ref="B245:C245"/>
    <mergeCell ref="B246:C246"/>
    <mergeCell ref="B247:C247"/>
    <mergeCell ref="B248:C248"/>
    <mergeCell ref="C1:F1"/>
    <mergeCell ref="B267:C267"/>
    <mergeCell ref="B11:F11"/>
    <mergeCell ref="B12:C12"/>
    <mergeCell ref="B13:C13"/>
    <mergeCell ref="B14:C14"/>
    <mergeCell ref="B16:C16"/>
    <mergeCell ref="B83:C83"/>
    <mergeCell ref="B197:F197"/>
    <mergeCell ref="B199:C199"/>
    <mergeCell ref="B261:C261"/>
    <mergeCell ref="B262:C262"/>
    <mergeCell ref="B263:C263"/>
    <mergeCell ref="B264:C264"/>
    <mergeCell ref="B265:C265"/>
    <mergeCell ref="B266:C266"/>
    <mergeCell ref="B255:C255"/>
    <mergeCell ref="B256:C256"/>
    <mergeCell ref="B257:C257"/>
    <mergeCell ref="B258:C258"/>
    <mergeCell ref="B259:C259"/>
    <mergeCell ref="B260:C260"/>
    <mergeCell ref="B249:C249"/>
    <mergeCell ref="B250:C250"/>
  </mergeCells>
  <dataValidations disablePrompts="1" count="1">
    <dataValidation type="list" allowBlank="1" sqref="C7" xr:uid="{FEE25AE9-41E1-4CA2-99AF-51E59E62535A}">
      <formula1>"Units,Thousands,Millions,Billions"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9" orientation="portrait" r:id="rId1"/>
  <rowBreaks count="2" manualBreakCount="2">
    <brk id="48" max="16383" man="1"/>
    <brk id="138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2</xdr:col>
                    <xdr:colOff>15240</xdr:colOff>
                    <xdr:row>8</xdr:row>
                    <xdr:rowOff>76200</xdr:rowOff>
                  </from>
                  <to>
                    <xdr:col>2</xdr:col>
                    <xdr:colOff>1021080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Option Button 7">
              <controlPr defaultSize="0" autoFill="0" autoLine="0" autoPict="0">
                <anchor moveWithCells="1">
                  <from>
                    <xdr:col>1</xdr:col>
                    <xdr:colOff>632460</xdr:colOff>
                    <xdr:row>8</xdr:row>
                    <xdr:rowOff>68580</xdr:rowOff>
                  </from>
                  <to>
                    <xdr:col>1</xdr:col>
                    <xdr:colOff>1584960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Option Button 8">
              <controlPr defaultSize="0" autoFill="0" autoLine="0" autoPict="0">
                <anchor moveWithCells="1">
                  <from>
                    <xdr:col>1</xdr:col>
                    <xdr:colOff>1630680</xdr:colOff>
                    <xdr:row>8</xdr:row>
                    <xdr:rowOff>68580</xdr:rowOff>
                  </from>
                  <to>
                    <xdr:col>2</xdr:col>
                    <xdr:colOff>1905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4C0F-651E-4F66-AD8F-C9D4B39B1DD5}">
  <sheetPr>
    <tabColor rgb="FFDAE2DD"/>
  </sheetPr>
  <dimension ref="A1:B1"/>
  <sheetViews>
    <sheetView showGridLines="0" workbookViewId="0">
      <selection activeCell="B2" sqref="B2"/>
    </sheetView>
  </sheetViews>
  <sheetFormatPr defaultRowHeight="14.45"/>
  <cols>
    <col min="1" max="1" width="13.28515625" customWidth="1"/>
    <col min="2" max="2" width="10" bestFit="1" customWidth="1"/>
  </cols>
  <sheetData>
    <row r="1" spans="1:2">
      <c r="A1" s="65" t="s">
        <v>253</v>
      </c>
      <c r="B1" s="66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Andre Forlin Dosciati</cp:lastModifiedBy>
  <cp:revision/>
  <dcterms:created xsi:type="dcterms:W3CDTF">2018-11-28T11:50:25Z</dcterms:created>
  <dcterms:modified xsi:type="dcterms:W3CDTF">2022-09-18T13:57:18Z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1335357668</vt:lpwstr>
  </property>
  <property fmtid="{D5CDD505-2E9C-101B-9397-08002B2CF9AE}" pid="3" name="EcoUpdateMessage">
    <vt:lpwstr>2022/04/25-12:41:08</vt:lpwstr>
  </property>
  <property fmtid="{D5CDD505-2E9C-101B-9397-08002B2CF9AE}" pid="4" name="EcoUpdateStatus">
    <vt:lpwstr>2022-04-22=BRA:St,ME,Fd,TP;USA:St,ME;ARG:St,ME,Fd,TP;MEX:St,ME,Fd,TP;CHL:St,ME;COL:St,ME;PER:St,ME,TP|2022-04-11=USA:TP|2022-04-21=CHL:Fd;PER:Fd|2021-11-17=CHL:TP|2014-02-26=VEN:St|2002-11-08=JPN:St|2022-04-20=GBR:St,ME;COL:Fd|2016-08-18=NNN:St|2007-01-31=ESP:St|2003-01-29=CHN:St|2003-01-28=TWN:St|2003-01-30=HKG:St;KOR:St</vt:lpwstr>
  </property>
</Properties>
</file>