
<file path=[Content_Types].xml><?xml version="1.0" encoding="utf-8"?>
<Types xmlns="http://schemas.openxmlformats.org/package/2006/content-types">
  <Override PartName="/xl/worksheets/sheet1.xml" ContentType="application/vnd.openxmlformats-officedocument.spreadsheetml.worksheet+xml"/>
  <Override PartName="/xl/charts/chart7.xml" ContentType="application/vnd.openxmlformats-officedocument.drawingml.chart+xml"/>
  <Override PartName="/xl/worksheets/sheet2.xml" ContentType="application/vnd.openxmlformats-officedocument.spreadsheetml.worksheet+xml"/>
  <Override PartName="/xl/charts/chart8.xml" ContentType="application/vnd.openxmlformats-officedocument.drawingml.chart+xml"/>
  <Override PartName="/docProps/app.xml" ContentType="application/vnd.openxmlformats-officedocument.extended-properties+xml"/>
  <Override PartName="/xl/charts/chart9.xml" ContentType="application/vnd.openxmlformats-officedocument.drawingml.chart+xml"/>
  <Override PartName="/xl/drawings/drawing3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Default Extension="vml" ContentType="application/vnd.openxmlformats-officedocument.vmlDrawing"/>
  <Override PartName="/xl/drawings/drawing2.xml" ContentType="application/vnd.openxmlformats-officedocument.drawing+xml"/>
  <Override PartName="/xl/queryTables/queryTable1.xml" ContentType="application/vnd.openxmlformats-officedocument.spreadsheetml.queryTable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xl/workbook.xml" ContentType="application/vnd.openxmlformats-officedocument.spreadsheetml.sheet.main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charts/chart3.xml" ContentType="application/vnd.openxmlformats-officedocument.drawingml.chart+xml"/>
  <Default Extension="xml" ContentType="application/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harts/chart6.xml" ContentType="application/vnd.openxmlformats-officedocument.drawingml.chart+xml"/>
  <Override PartName="/xl/charts/chart1.xml" ContentType="application/vnd.openxmlformats-officedocument.drawingml.chart+xml"/>
  <Override PartName="/xl/sharedStrings.xml" ContentType="application/vnd.openxmlformats-officedocument.spreadsheetml.sharedStrings+xml"/>
  <Default Extension="rels" ContentType="application/vnd.openxmlformats-package.relationships+xml"/>
  <Override PartName="/xl/charts/chart10.xml" ContentType="application/vnd.openxmlformats-officedocument.drawingml.chart+xml"/>
  <Override PartName="/xl/drawings/drawing1.xml" ContentType="application/vnd.openxmlformats-officedocument.drawing+xml"/>
  <Override PartName="/xl/charts/chart5.xml" ContentType="application/vnd.openxmlformats-officedocument.drawingml.chart+xml"/>
  <Override PartName="/xl/comments1.xml" ContentType="application/vnd.openxmlformats-officedocument.spreadsheetml.comments+xml"/>
  <Override PartName="/xl/styles.xml" ContentType="application/vnd.openxmlformats-officedocument.spreadsheetml.styles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showInkAnnotation="0" autoCompressPictures="0"/>
  <bookViews>
    <workbookView xWindow="960" yWindow="-320" windowWidth="28840" windowHeight="21300" tabRatio="303" activeTab="2"/>
  </bookViews>
  <sheets>
    <sheet name="v11" sheetId="1" r:id="rId1"/>
    <sheet name="v10" sheetId="4" r:id="rId2"/>
    <sheet name="WLCG" sheetId="3" r:id="rId3"/>
  </sheets>
  <definedNames>
    <definedName name="Normalization" localSheetId="1">'v10'!$B$3:$I$5</definedName>
    <definedName name="Normalization" localSheetId="0">'v11'!$B$3:$I$5</definedName>
  </definedNames>
  <calcPr calcId="130404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F22" i="4"/>
  <c r="B115"/>
  <c r="F104"/>
  <c r="F98"/>
  <c r="F54"/>
  <c r="B116"/>
  <c r="F40"/>
  <c r="F47"/>
  <c r="F32"/>
  <c r="F76"/>
  <c r="B117"/>
  <c r="F9"/>
  <c r="B118"/>
  <c r="F70"/>
  <c r="B119"/>
  <c r="B121"/>
  <c r="F91"/>
  <c r="B114"/>
  <c r="B120"/>
  <c r="H102"/>
  <c r="H103"/>
  <c r="H104"/>
  <c r="H96"/>
  <c r="H97"/>
  <c r="H98"/>
  <c r="H75"/>
  <c r="H76"/>
  <c r="H64"/>
  <c r="H65"/>
  <c r="H66"/>
  <c r="H67"/>
  <c r="H68"/>
  <c r="H69"/>
  <c r="H70"/>
  <c r="H52"/>
  <c r="H53"/>
  <c r="H54"/>
  <c r="H44"/>
  <c r="H45"/>
  <c r="H46"/>
  <c r="H47"/>
  <c r="H37"/>
  <c r="H38"/>
  <c r="H39"/>
  <c r="H40"/>
  <c r="H31"/>
  <c r="H32"/>
  <c r="H18"/>
  <c r="H19"/>
  <c r="H22"/>
  <c r="H13"/>
  <c r="H14"/>
  <c r="H7"/>
  <c r="H8"/>
  <c r="H9"/>
  <c r="H110"/>
  <c r="F110"/>
  <c r="H86"/>
  <c r="H87"/>
  <c r="H88"/>
  <c r="H89"/>
  <c r="H90"/>
  <c r="H91"/>
  <c r="H108"/>
  <c r="F108"/>
  <c r="H105"/>
  <c r="H99"/>
  <c r="H92"/>
  <c r="F80"/>
  <c r="H80"/>
  <c r="H81"/>
  <c r="F81"/>
  <c r="H82"/>
  <c r="H77"/>
  <c r="H71"/>
  <c r="H58"/>
  <c r="H59"/>
  <c r="F59"/>
  <c r="H60"/>
  <c r="H55"/>
  <c r="H48"/>
  <c r="H41"/>
  <c r="H33"/>
  <c r="H26"/>
  <c r="H27"/>
  <c r="F27"/>
  <c r="H28"/>
  <c r="H23"/>
  <c r="H10"/>
  <c r="H11" i="1"/>
  <c r="F16"/>
  <c r="F46"/>
  <c r="F54"/>
  <c r="F37"/>
  <c r="F32"/>
  <c r="F57"/>
  <c r="B115"/>
  <c r="F26"/>
  <c r="B113"/>
  <c r="F102"/>
  <c r="F96"/>
  <c r="F79"/>
  <c r="F63"/>
  <c r="F7"/>
  <c r="F8"/>
  <c r="F10"/>
  <c r="F108"/>
  <c r="H100"/>
  <c r="H101"/>
  <c r="H102"/>
  <c r="H94"/>
  <c r="H95"/>
  <c r="H96"/>
  <c r="H73"/>
  <c r="H74"/>
  <c r="H75"/>
  <c r="H76"/>
  <c r="H77"/>
  <c r="H78"/>
  <c r="H79"/>
  <c r="H61"/>
  <c r="H62"/>
  <c r="H63"/>
  <c r="H50"/>
  <c r="H51"/>
  <c r="H52"/>
  <c r="H53"/>
  <c r="H54"/>
  <c r="H42"/>
  <c r="H43"/>
  <c r="H44"/>
  <c r="H45"/>
  <c r="H46"/>
  <c r="H36"/>
  <c r="H37"/>
  <c r="H21"/>
  <c r="H26"/>
  <c r="H7"/>
  <c r="H8"/>
  <c r="H9"/>
  <c r="H10"/>
  <c r="H31"/>
  <c r="H32"/>
  <c r="H108"/>
  <c r="H84"/>
  <c r="H85"/>
  <c r="H86"/>
  <c r="H87"/>
  <c r="H88"/>
  <c r="H89"/>
  <c r="H106"/>
  <c r="F89"/>
  <c r="F106"/>
  <c r="H27"/>
  <c r="H57"/>
  <c r="H33"/>
  <c r="H15"/>
  <c r="H16"/>
  <c r="B114"/>
  <c r="B116"/>
  <c r="B117"/>
  <c r="B119"/>
  <c r="B112"/>
  <c r="B118"/>
  <c r="H103"/>
  <c r="H97"/>
  <c r="H90"/>
  <c r="H80"/>
  <c r="H67"/>
  <c r="H68"/>
  <c r="F68"/>
  <c r="H69"/>
  <c r="H64"/>
  <c r="H55"/>
  <c r="H47"/>
  <c r="H38"/>
  <c r="K6" i="3"/>
  <c r="K77"/>
  <c r="K4"/>
  <c r="K85"/>
  <c r="K86"/>
  <c r="K87"/>
  <c r="K88"/>
  <c r="K89"/>
  <c r="K92"/>
  <c r="H48"/>
  <c r="Z8"/>
  <c r="R89"/>
  <c r="G48"/>
  <c r="Y8"/>
  <c r="Q89"/>
  <c r="D48"/>
  <c r="E48"/>
  <c r="F48"/>
  <c r="X8"/>
  <c r="P89"/>
  <c r="W8"/>
  <c r="O89"/>
  <c r="V8"/>
  <c r="N89"/>
  <c r="U8"/>
  <c r="M89"/>
  <c r="T8"/>
  <c r="L89"/>
  <c r="J89"/>
  <c r="H40"/>
  <c r="Z7"/>
  <c r="R88"/>
  <c r="G40"/>
  <c r="Y7"/>
  <c r="Q88"/>
  <c r="X7"/>
  <c r="P88"/>
  <c r="W7"/>
  <c r="O88"/>
  <c r="V7"/>
  <c r="N88"/>
  <c r="U7"/>
  <c r="M88"/>
  <c r="T7"/>
  <c r="L88"/>
  <c r="J88"/>
  <c r="H32"/>
  <c r="Z6"/>
  <c r="R87"/>
  <c r="G32"/>
  <c r="Y6"/>
  <c r="Q87"/>
  <c r="X6"/>
  <c r="P87"/>
  <c r="W6"/>
  <c r="O87"/>
  <c r="V6"/>
  <c r="N87"/>
  <c r="U6"/>
  <c r="M87"/>
  <c r="T6"/>
  <c r="L87"/>
  <c r="J87"/>
  <c r="H24"/>
  <c r="Z5"/>
  <c r="R86"/>
  <c r="G24"/>
  <c r="Y5"/>
  <c r="Q86"/>
  <c r="X5"/>
  <c r="P86"/>
  <c r="W5"/>
  <c r="O86"/>
  <c r="V5"/>
  <c r="N86"/>
  <c r="U5"/>
  <c r="M86"/>
  <c r="T5"/>
  <c r="L86"/>
  <c r="J86"/>
  <c r="H16"/>
  <c r="Z4"/>
  <c r="R85"/>
  <c r="G16"/>
  <c r="Y4"/>
  <c r="Q85"/>
  <c r="X4"/>
  <c r="P85"/>
  <c r="W4"/>
  <c r="O85"/>
  <c r="V4"/>
  <c r="N85"/>
  <c r="U4"/>
  <c r="M85"/>
  <c r="T4"/>
  <c r="L85"/>
  <c r="J85"/>
  <c r="H81"/>
  <c r="G81"/>
  <c r="F81"/>
  <c r="E81"/>
  <c r="D81"/>
  <c r="C81"/>
  <c r="B81"/>
  <c r="H14"/>
  <c r="R4"/>
  <c r="R75"/>
  <c r="H22"/>
  <c r="R5"/>
  <c r="R76"/>
  <c r="H30"/>
  <c r="R6"/>
  <c r="R77"/>
  <c r="H38"/>
  <c r="R7"/>
  <c r="R78"/>
  <c r="H46"/>
  <c r="R8"/>
  <c r="R79"/>
  <c r="R80"/>
  <c r="G14"/>
  <c r="Q4"/>
  <c r="Q75"/>
  <c r="G22"/>
  <c r="Q5"/>
  <c r="Q76"/>
  <c r="G30"/>
  <c r="Q6"/>
  <c r="Q77"/>
  <c r="G38"/>
  <c r="Q7"/>
  <c r="Q78"/>
  <c r="G46"/>
  <c r="Q8"/>
  <c r="Q79"/>
  <c r="Q80"/>
  <c r="P4"/>
  <c r="P75"/>
  <c r="P5"/>
  <c r="P76"/>
  <c r="P6"/>
  <c r="P77"/>
  <c r="P7"/>
  <c r="P78"/>
  <c r="P8"/>
  <c r="P79"/>
  <c r="P80"/>
  <c r="O4"/>
  <c r="O75"/>
  <c r="O5"/>
  <c r="O76"/>
  <c r="O6"/>
  <c r="O77"/>
  <c r="O7"/>
  <c r="O78"/>
  <c r="O8"/>
  <c r="O79"/>
  <c r="O80"/>
  <c r="N4"/>
  <c r="N75"/>
  <c r="N5"/>
  <c r="N76"/>
  <c r="N6"/>
  <c r="N77"/>
  <c r="N7"/>
  <c r="N78"/>
  <c r="N8"/>
  <c r="N79"/>
  <c r="N80"/>
  <c r="M4"/>
  <c r="M75"/>
  <c r="M5"/>
  <c r="M76"/>
  <c r="M6"/>
  <c r="M77"/>
  <c r="M7"/>
  <c r="M78"/>
  <c r="M8"/>
  <c r="M79"/>
  <c r="M80"/>
  <c r="L4"/>
  <c r="L75"/>
  <c r="L5"/>
  <c r="L76"/>
  <c r="L6"/>
  <c r="L77"/>
  <c r="L7"/>
  <c r="L78"/>
  <c r="L8"/>
  <c r="L79"/>
  <c r="L80"/>
  <c r="K75"/>
  <c r="K5"/>
  <c r="K76"/>
  <c r="K7"/>
  <c r="K78"/>
  <c r="K8"/>
  <c r="K79"/>
  <c r="K80"/>
  <c r="H80"/>
  <c r="G80"/>
  <c r="F80"/>
  <c r="E80"/>
  <c r="D80"/>
  <c r="C80"/>
  <c r="B80"/>
  <c r="H79"/>
  <c r="G79"/>
  <c r="F79"/>
  <c r="E79"/>
  <c r="D79"/>
  <c r="C79"/>
  <c r="B79"/>
  <c r="H78"/>
  <c r="G78"/>
  <c r="F78"/>
  <c r="E78"/>
  <c r="D78"/>
  <c r="C78"/>
  <c r="B78"/>
  <c r="H77"/>
  <c r="G77"/>
  <c r="F77"/>
  <c r="E77"/>
  <c r="D77"/>
  <c r="C77"/>
  <c r="B77"/>
  <c r="H76"/>
  <c r="G76"/>
  <c r="F76"/>
  <c r="E76"/>
  <c r="D76"/>
  <c r="C76"/>
  <c r="B76"/>
  <c r="H6"/>
  <c r="H75"/>
  <c r="G6"/>
  <c r="G75"/>
  <c r="F75"/>
  <c r="E75"/>
  <c r="D75"/>
  <c r="C75"/>
  <c r="B75"/>
  <c r="H70"/>
  <c r="G70"/>
  <c r="F70"/>
  <c r="E70"/>
  <c r="D70"/>
  <c r="C70"/>
  <c r="B70"/>
  <c r="H69"/>
  <c r="G69"/>
  <c r="F69"/>
  <c r="E69"/>
  <c r="D69"/>
  <c r="C69"/>
  <c r="B69"/>
  <c r="H68"/>
  <c r="G68"/>
  <c r="F68"/>
  <c r="E68"/>
  <c r="D68"/>
  <c r="C68"/>
  <c r="B68"/>
  <c r="H67"/>
  <c r="G67"/>
  <c r="F67"/>
  <c r="E67"/>
  <c r="D67"/>
  <c r="C67"/>
  <c r="B67"/>
  <c r="H66"/>
  <c r="G66"/>
  <c r="F66"/>
  <c r="E66"/>
  <c r="D66"/>
  <c r="C66"/>
  <c r="B66"/>
  <c r="H4"/>
  <c r="H65"/>
  <c r="G4"/>
  <c r="G65"/>
  <c r="F65"/>
  <c r="E65"/>
  <c r="D65"/>
  <c r="C65"/>
  <c r="B65"/>
  <c r="H56"/>
  <c r="G56"/>
  <c r="F56"/>
  <c r="E56"/>
  <c r="D56"/>
  <c r="C56"/>
  <c r="B56"/>
  <c r="H54"/>
  <c r="G54"/>
  <c r="F54"/>
  <c r="E54"/>
  <c r="D54"/>
  <c r="C54"/>
  <c r="B54"/>
  <c r="Z10"/>
  <c r="Y10"/>
  <c r="X10"/>
  <c r="W10"/>
  <c r="V10"/>
  <c r="U10"/>
  <c r="T10"/>
  <c r="S10"/>
  <c r="R10"/>
  <c r="Q10"/>
  <c r="P10"/>
  <c r="O10"/>
  <c r="N10"/>
  <c r="M10"/>
  <c r="L10"/>
  <c r="K10"/>
  <c r="E10"/>
  <c r="D10"/>
  <c r="C10"/>
  <c r="Z3"/>
  <c r="Z9"/>
  <c r="Y3"/>
  <c r="Y9"/>
  <c r="X3"/>
  <c r="X9"/>
  <c r="W3"/>
  <c r="W9"/>
  <c r="V3"/>
  <c r="V9"/>
  <c r="U3"/>
  <c r="U9"/>
  <c r="T3"/>
  <c r="T9"/>
  <c r="S9"/>
  <c r="R3"/>
  <c r="R9"/>
  <c r="Q3"/>
  <c r="Q9"/>
  <c r="P3"/>
  <c r="P9"/>
  <c r="O3"/>
  <c r="O9"/>
  <c r="N3"/>
  <c r="N9"/>
  <c r="M3"/>
  <c r="M9"/>
  <c r="L3"/>
  <c r="L9"/>
  <c r="K3"/>
  <c r="K9"/>
</calcChain>
</file>

<file path=xl/comments1.xml><?xml version="1.0" encoding="utf-8"?>
<comments xmlns="http://schemas.openxmlformats.org/spreadsheetml/2006/main">
  <authors>
    <author>Patrick McGuigan</author>
    <author>Rob Gardner</author>
  </authors>
  <commentList>
    <comment ref="S5" authorId="0">
      <text>
        <r>
          <rPr>
            <b/>
            <sz val="8"/>
            <color indexed="81"/>
            <rFont val="Tahoma"/>
          </rPr>
          <t>Patrick McGuigan:
9/22/08</t>
        </r>
        <r>
          <rPr>
            <sz val="8"/>
            <color indexed="81"/>
            <rFont val="Tahoma"/>
          </rPr>
          <t xml:space="preserve">
16TB(UTA_SWT2)
227TB(SWT2_CPB)
20TB(OU)</t>
        </r>
      </text>
    </comment>
    <comment ref="B48" authorId="1">
      <text>
        <r>
          <rPr>
            <b/>
            <sz val="9"/>
            <color indexed="81"/>
            <rFont val="Arial"/>
            <family val="2"/>
          </rPr>
          <t>Rob Gardner:</t>
        </r>
        <r>
          <rPr>
            <sz val="9"/>
            <color indexed="81"/>
            <rFont val="Arial"/>
            <family val="2"/>
          </rPr>
          <t xml:space="preserve">
revised 10/7/08 from Wei</t>
        </r>
      </text>
    </comment>
    <comment ref="C48" authorId="1">
      <text>
        <r>
          <rPr>
            <b/>
            <sz val="9"/>
            <color indexed="81"/>
            <rFont val="Arial"/>
            <family val="2"/>
          </rPr>
          <t>Rob Gardner:</t>
        </r>
        <r>
          <rPr>
            <sz val="9"/>
            <color indexed="81"/>
            <rFont val="Arial"/>
            <family val="2"/>
          </rPr>
          <t xml:space="preserve">
revised 12/22/08</t>
        </r>
      </text>
    </comment>
  </commentList>
</comments>
</file>

<file path=xl/connections.xml><?xml version="1.0" encoding="utf-8"?>
<connections xmlns="http://schemas.openxmlformats.org/spreadsheetml/2006/main">
  <connection id="1" name="Connection1" type="6" refreshedVersion="2" background="1" saveData="1">
    <textPr sourceFile="U:\mydocs\Gratia\Normalization.txt" semicolon="1">
      <textFields count="6">
        <textField type="text"/>
        <textField type="text"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<sst xmlns="http://schemas.openxmlformats.org/spreadsheetml/2006/main" count="405" uniqueCount="186">
  <si>
    <t>OU_OSCER_ATLAS (10/2/2007)</t>
  </si>
  <si>
    <t>Xeon-EMT64</t>
  </si>
  <si>
    <t>UTA_SWT2 (10/2/2007)</t>
  </si>
  <si>
    <t>IU_ATLAS_Tier2 (10/2/2007)</t>
  </si>
  <si>
    <t>IU_OSG (10/2/2007)</t>
  </si>
  <si>
    <t>Intel Xeon E5345</t>
  </si>
  <si>
    <t>Note (11/14/07): site deprecated</t>
  </si>
  <si>
    <t>USA, Northeast ATLAS T2</t>
  </si>
  <si>
    <t>CPU (kSI2K)</t>
  </si>
  <si>
    <t>Disk (Tbytes)</t>
  </si>
  <si>
    <t>Nominal WAN (Mbits/sec)</t>
  </si>
  <si>
    <t>USATLAS TIER2</t>
    <phoneticPr fontId="4" type="noConversion"/>
  </si>
  <si>
    <t>USA, Southwest ATLAS T2</t>
  </si>
  <si>
    <t>USA, Midwest ATLAS T2</t>
  </si>
  <si>
    <t>USA, Great Lakes ATLAS T2</t>
  </si>
  <si>
    <t>USA, SLAC ATLAS T2</t>
  </si>
  <si>
    <t>Quad core Intel E5430</t>
  </si>
  <si>
    <t>Quad core Intel x7350</t>
  </si>
  <si>
    <t>BU_ATLAS_Tier2o (4/4/2008)</t>
  </si>
  <si>
    <t>US-ATLAS Tier1</t>
  </si>
  <si>
    <t xml:space="preserve">US ATLAS FACILITY </t>
  </si>
  <si>
    <t>cores</t>
  </si>
  <si>
    <t xml:space="preserve">THE US ATLAS FACILITY </t>
  </si>
  <si>
    <t>Xeon E5440 Intel (2.83 GHz Harpertown)</t>
  </si>
  <si>
    <t>Updated 2/7/2009</t>
  </si>
  <si>
    <t>See Note 1/Updated 2/7/2009</t>
  </si>
  <si>
    <t>HU_ATLAS_Tier2 (2/7/2009)</t>
    <phoneticPr fontId="4" type="noConversion"/>
  </si>
  <si>
    <t>Quad core Intel E5410</t>
    <phoneticPr fontId="4" type="noConversion"/>
  </si>
  <si>
    <t>Opportunistic</t>
    <phoneticPr fontId="4" type="noConversion"/>
  </si>
  <si>
    <t>v11-v6</t>
    <phoneticPr fontId="4" type="noConversion"/>
  </si>
  <si>
    <t>BU_ATLAS_Tier2o (2/7/2009)</t>
    <phoneticPr fontId="4" type="noConversion"/>
  </si>
  <si>
    <t>Dual-Core AMD Opteron(tm) Processor 2216</t>
    <phoneticPr fontId="4" type="noConversion"/>
  </si>
  <si>
    <t>Dual-Core AMD 275</t>
    <phoneticPr fontId="4" type="noConversion"/>
  </si>
  <si>
    <t>Quad core Intel L5420</t>
    <phoneticPr fontId="4" type="noConversion"/>
  </si>
  <si>
    <t>OU_OSCER_ATLAS (2/10/09)</t>
    <phoneticPr fontId="4" type="noConversion"/>
  </si>
  <si>
    <t>SPECint2000</t>
  </si>
  <si>
    <t>Dual Core AMD Opteron(tm) Processor 270</t>
  </si>
  <si>
    <t>15-33-2</t>
  </si>
  <si>
    <t>AMD Opteron(tm) Processor 248</t>
  </si>
  <si>
    <t>Xeon(TM) CPU 2.40GHz</t>
  </si>
  <si>
    <t>Xeon(TM) CPU 3.06GHz</t>
  </si>
  <si>
    <t>Totals</t>
  </si>
  <si>
    <t>Quad Core Xeon E5440 Processor</t>
    <phoneticPr fontId="4" type="noConversion"/>
  </si>
  <si>
    <t>Updated 12/31/08</t>
    <phoneticPr fontId="4" type="noConversion"/>
  </si>
  <si>
    <t>MWT2_UC</t>
    <phoneticPr fontId="4" type="noConversion"/>
  </si>
  <si>
    <t xml:space="preserve">MWT2_IU </t>
    <phoneticPr fontId="4" type="noConversion"/>
  </si>
  <si>
    <t>MWT2 TOTAL</t>
    <phoneticPr fontId="4" type="noConversion"/>
  </si>
  <si>
    <t>Dual Core AMD Opteron(tm) Processor 275</t>
  </si>
  <si>
    <t>Dual-Core AMD Opteron(tm) Processor 2216</t>
  </si>
  <si>
    <t>ATLAS 33%  fair share factor applied for SLAC (Wei Yang 7/10/08)</t>
    <phoneticPr fontId="4" type="noConversion"/>
  </si>
  <si>
    <t>15-65-2</t>
  </si>
  <si>
    <t xml:space="preserve">Quad-Core AMD Opteron(tm) Processor 2350 </t>
  </si>
  <si>
    <t>CPU P2009 (SI2K)</t>
    <phoneticPr fontId="4" type="noConversion"/>
  </si>
  <si>
    <t>CPU P2010 (SI2K)</t>
    <phoneticPr fontId="4" type="noConversion"/>
  </si>
  <si>
    <t>CPU P2011 (SI2K)</t>
    <phoneticPr fontId="4" type="noConversion"/>
  </si>
  <si>
    <t>CPU P2012 (SI2K)</t>
    <phoneticPr fontId="4" type="noConversion"/>
  </si>
  <si>
    <t>Updated 6/10/08</t>
    <phoneticPr fontId="4" type="noConversion"/>
  </si>
  <si>
    <t>Dual Core AMD Opteron(tm) Processor 285</t>
    <phoneticPr fontId="4" type="noConversion"/>
  </si>
  <si>
    <t>15-4-1</t>
  </si>
  <si>
    <t>Normalization</t>
  </si>
  <si>
    <t>Peak</t>
  </si>
  <si>
    <t>Value</t>
  </si>
  <si>
    <t>Xeon  x5355 Intel</t>
  </si>
  <si>
    <t>US ATLAS Facility</t>
    <phoneticPr fontId="4" type="noConversion"/>
  </si>
  <si>
    <t>TIER2 Centers</t>
    <phoneticPr fontId="4" type="noConversion"/>
  </si>
  <si>
    <t>Tape (Tbytes)</t>
    <phoneticPr fontId="4" type="noConversion"/>
  </si>
  <si>
    <t>v10</t>
    <phoneticPr fontId="4" type="noConversion"/>
  </si>
  <si>
    <t>WLCG Pledged Capacities</t>
    <phoneticPr fontId="4" type="noConversion"/>
  </si>
  <si>
    <t>Dual Core AMD Opteron(tm) Processor 285</t>
  </si>
  <si>
    <t>See Note 1</t>
  </si>
  <si>
    <t>Dual Core AMD Opteron(tm) Processor 244</t>
  </si>
  <si>
    <t>15-5-8</t>
  </si>
  <si>
    <t>don</t>
  </si>
  <si>
    <t>cob</t>
  </si>
  <si>
    <t>yili</t>
  </si>
  <si>
    <t>Dual Core AMD Opteron™ Processor 2218</t>
  </si>
  <si>
    <t>boer</t>
  </si>
  <si>
    <t>Subcluster
Name</t>
  </si>
  <si>
    <t>AGLT2 (09/26/2007)</t>
  </si>
  <si>
    <t>Site</t>
  </si>
  <si>
    <t>Xeon(TM) CPU 2.8GHz</t>
  </si>
  <si>
    <t>UC_ATLAS_MWT2 (11/30/2007)</t>
  </si>
  <si>
    <t>Updated 11/30/07</t>
  </si>
  <si>
    <t>Dual Core AMD Opteron(tm) Processor 2218</t>
    <phoneticPr fontId="4" type="noConversion"/>
  </si>
  <si>
    <t>MWT2_IU (4/1/2008)</t>
    <phoneticPr fontId="4" type="noConversion"/>
  </si>
  <si>
    <t>MWT2_UC (4/1/2008)</t>
    <phoneticPr fontId="4" type="noConversion"/>
  </si>
  <si>
    <t>(4/1/08: site no longer in use)</t>
    <phoneticPr fontId="4" type="noConversion"/>
  </si>
  <si>
    <t>BU_ATLAS_Tier2 (10/2/2007)</t>
  </si>
  <si>
    <t>UC_Teraport (10//2/2007)</t>
  </si>
  <si>
    <t>OU_OCHEP_SWT2 (10/2/2007)</t>
  </si>
  <si>
    <t>Updated 6/10/08</t>
    <phoneticPr fontId="4" type="noConversion"/>
  </si>
  <si>
    <t>Disk Pledge plot</t>
  </si>
  <si>
    <t>Req+DPD</t>
    <phoneticPr fontId="4" type="noConversion"/>
  </si>
  <si>
    <t>Req</t>
    <phoneticPr fontId="4" type="noConversion"/>
  </si>
  <si>
    <t>T1</t>
    <phoneticPr fontId="4" type="noConversion"/>
  </si>
  <si>
    <t>Site</t>
    <phoneticPr fontId="4" type="noConversion"/>
  </si>
  <si>
    <t>NET2</t>
    <phoneticPr fontId="4" type="noConversion"/>
  </si>
  <si>
    <t>MWT2</t>
    <phoneticPr fontId="4" type="noConversion"/>
  </si>
  <si>
    <t>AGLT2</t>
    <phoneticPr fontId="4" type="noConversion"/>
  </si>
  <si>
    <t>CPU Pledge plot</t>
    <phoneticPr fontId="4" type="noConversion"/>
  </si>
  <si>
    <t>Disk Pledge plot</t>
    <phoneticPr fontId="4" type="noConversion"/>
  </si>
  <si>
    <t>T2 sum</t>
    <phoneticPr fontId="4" type="noConversion"/>
  </si>
  <si>
    <t>SWT2_CPB</t>
  </si>
  <si>
    <t>Replaces UTA_DPCC 9/22/08</t>
  </si>
  <si>
    <t>Dual-Core AMD Opteron(tm) Processor 2220</t>
  </si>
  <si>
    <t>Updated 7/9/2008</t>
    <phoneticPr fontId="4" type="noConversion"/>
  </si>
  <si>
    <t>PROD_SLAC</t>
    <phoneticPr fontId="4" type="noConversion"/>
  </si>
  <si>
    <t>CPU P2013 (SI2K)</t>
    <phoneticPr fontId="4" type="noConversion"/>
  </si>
  <si>
    <t>Disk P07 (TB)</t>
    <phoneticPr fontId="4" type="noConversion"/>
  </si>
  <si>
    <t>Disk P08 (TB)</t>
    <phoneticPr fontId="4" type="noConversion"/>
  </si>
  <si>
    <t>Disk P09 (TB)</t>
    <phoneticPr fontId="4" type="noConversion"/>
  </si>
  <si>
    <t>Disk P10 (TB)</t>
    <phoneticPr fontId="4" type="noConversion"/>
  </si>
  <si>
    <t>Disk P11 (TB)</t>
    <phoneticPr fontId="4" type="noConversion"/>
  </si>
  <si>
    <t>Disk P12 (TB)</t>
    <phoneticPr fontId="4" type="noConversion"/>
  </si>
  <si>
    <t>Disk P13 (TB)</t>
    <phoneticPr fontId="4" type="noConversion"/>
  </si>
  <si>
    <t>CPU P2007 (SI2K)</t>
    <phoneticPr fontId="4" type="noConversion"/>
  </si>
  <si>
    <t>CPU Installed (SI2K)</t>
    <phoneticPr fontId="4" type="noConversion"/>
  </si>
  <si>
    <t>Disk Installed (TB)</t>
    <phoneticPr fontId="4" type="noConversion"/>
  </si>
  <si>
    <t>Disk Installed (TB)</t>
    <phoneticPr fontId="4" type="noConversion"/>
  </si>
  <si>
    <t>Disk P2009 (TB)</t>
    <phoneticPr fontId="4" type="noConversion"/>
  </si>
  <si>
    <t>Disk P2010 (TB)</t>
    <phoneticPr fontId="4" type="noConversion"/>
  </si>
  <si>
    <t>Disk P2011 (TB)</t>
    <phoneticPr fontId="4" type="noConversion"/>
  </si>
  <si>
    <t>Disk P2012 (TB)</t>
    <phoneticPr fontId="4" type="noConversion"/>
  </si>
  <si>
    <t>Disk P2013 (TB)</t>
    <phoneticPr fontId="4" type="noConversion"/>
  </si>
  <si>
    <t>Sum</t>
    <phoneticPr fontId="4" type="noConversion"/>
  </si>
  <si>
    <t>Tier 2 CPU View</t>
    <phoneticPr fontId="4" type="noConversion"/>
  </si>
  <si>
    <t>Site</t>
    <phoneticPr fontId="4" type="noConversion"/>
  </si>
  <si>
    <t>CPU Installed (SI2K)</t>
    <phoneticPr fontId="4" type="noConversion"/>
  </si>
  <si>
    <t>CPU P2007 (SI2K)</t>
    <phoneticPr fontId="4" type="noConversion"/>
  </si>
  <si>
    <t>CPU P2009 (SI2K)</t>
    <phoneticPr fontId="4" type="noConversion"/>
  </si>
  <si>
    <t>CPU P2010 (SI2K)</t>
    <phoneticPr fontId="4" type="noConversion"/>
  </si>
  <si>
    <t>CPU P2011 (SI2K)</t>
    <phoneticPr fontId="4" type="noConversion"/>
  </si>
  <si>
    <t>CPU P2012 (SI2K)</t>
    <phoneticPr fontId="4" type="noConversion"/>
  </si>
  <si>
    <t>CPU P2013 (SI2K)</t>
    <phoneticPr fontId="4" type="noConversion"/>
  </si>
  <si>
    <t>Tier 2 sum</t>
    <phoneticPr fontId="4" type="noConversion"/>
  </si>
  <si>
    <t>Tier2 Total</t>
    <phoneticPr fontId="4" type="noConversion"/>
  </si>
  <si>
    <t>Facility Total</t>
    <phoneticPr fontId="4" type="noConversion"/>
  </si>
  <si>
    <t>Intel quad core 5335 (2.0 GHz Clovertown)</t>
  </si>
  <si>
    <t>NOTES:</t>
  </si>
  <si>
    <t>Summary</t>
  </si>
  <si>
    <t>Note:replaces BNL_OSG and BNL_PANDA 11/8/07</t>
  </si>
  <si>
    <t>US-T1-BNL (11/8/2007)</t>
  </si>
  <si>
    <t>NET2</t>
  </si>
  <si>
    <t>AGLT2</t>
  </si>
  <si>
    <t>MWT2</t>
  </si>
  <si>
    <t>WT2</t>
  </si>
  <si>
    <t>T1</t>
  </si>
  <si>
    <t>SWT2</t>
  </si>
  <si>
    <t>USATLAS FACILITY</t>
  </si>
  <si>
    <t>cores</t>
    <phoneticPr fontId="4" type="noConversion"/>
  </si>
  <si>
    <t>T1</t>
    <phoneticPr fontId="4" type="noConversion"/>
  </si>
  <si>
    <t>NET2</t>
    <phoneticPr fontId="4" type="noConversion"/>
  </si>
  <si>
    <t>SWT2</t>
    <phoneticPr fontId="4" type="noConversion"/>
  </si>
  <si>
    <t>MWT2</t>
    <phoneticPr fontId="4" type="noConversion"/>
  </si>
  <si>
    <t>AGLT2</t>
    <phoneticPr fontId="4" type="noConversion"/>
  </si>
  <si>
    <t>WT2</t>
    <phoneticPr fontId="4" type="noConversion"/>
  </si>
  <si>
    <t>CORES</t>
    <phoneticPr fontId="4" type="noConversion"/>
  </si>
  <si>
    <t>SITE</t>
    <phoneticPr fontId="4" type="noConversion"/>
  </si>
  <si>
    <t>Total</t>
    <phoneticPr fontId="4" type="noConversion"/>
  </si>
  <si>
    <t>Tier2</t>
    <phoneticPr fontId="4" type="noConversion"/>
  </si>
  <si>
    <t>Tier2 Storage View</t>
    <phoneticPr fontId="4" type="noConversion"/>
  </si>
  <si>
    <t>Site</t>
    <phoneticPr fontId="4" type="noConversion"/>
  </si>
  <si>
    <t>Disk P2007 (TB)</t>
    <phoneticPr fontId="4" type="noConversion"/>
  </si>
  <si>
    <t>Disk P2008 (TB)</t>
    <phoneticPr fontId="4" type="noConversion"/>
  </si>
  <si>
    <t>TOKENS + US reserve</t>
    <phoneticPr fontId="4" type="noConversion"/>
  </si>
  <si>
    <t>TOKENS</t>
    <phoneticPr fontId="4" type="noConversion"/>
  </si>
  <si>
    <t>Intel Xeon ™ 3.4 GHz</t>
  </si>
  <si>
    <t xml:space="preserve"> </t>
  </si>
  <si>
    <t>AMD Opteron ™ 265 dual-core 1.8 GHz</t>
  </si>
  <si>
    <t>Intel Xeon ™ 5150 dual-core 2.6 GHz</t>
  </si>
  <si>
    <t>Intel Xeon ™ E5335 quad-core 2.0 GHz</t>
  </si>
  <si>
    <t>Intel Xeon ™ E5430 quad-core 2.6 GHz</t>
  </si>
  <si>
    <t>CPU P2008 (SI2K)</t>
  </si>
  <si>
    <t>Intel Xeon(R) X5355</t>
  </si>
  <si>
    <t>7-6-15</t>
  </si>
  <si>
    <t>fell</t>
  </si>
  <si>
    <t>Dual-Core AMD Opteron(tm) Processor 2218</t>
  </si>
  <si>
    <t>Updated 11/14/07</t>
  </si>
  <si>
    <t>Updated number of processors 11/14/07  (SI2K value per Shawn McKee)</t>
  </si>
  <si>
    <t>bali</t>
    <phoneticPr fontId="4" type="noConversion"/>
  </si>
  <si>
    <t>updated 1/22/08</t>
  </si>
  <si>
    <t>SPECint 2000</t>
  </si>
  <si>
    <t>Model</t>
  </si>
  <si>
    <t>Version</t>
  </si>
  <si>
    <t>GHz</t>
  </si>
  <si>
    <t>Cores</t>
  </si>
</sst>
</file>

<file path=xl/styles.xml><?xml version="1.0" encoding="utf-8"?>
<styleSheet xmlns="http://schemas.openxmlformats.org/spreadsheetml/2006/main">
  <numFmts count="5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</numFmts>
  <fonts count="35"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name val="Arial Unicode MS"/>
      <family val="2"/>
    </font>
    <font>
      <b/>
      <sz val="12"/>
      <name val="Arial"/>
      <family val="2"/>
    </font>
    <font>
      <b/>
      <sz val="14"/>
      <name val="Arial"/>
      <family val="2"/>
    </font>
    <font>
      <b/>
      <sz val="14"/>
      <color indexed="18"/>
      <name val="Arial"/>
      <family val="2"/>
    </font>
    <font>
      <b/>
      <sz val="18"/>
      <color indexed="62"/>
      <name val="Cambria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7"/>
      <name val="Calibri"/>
      <family val="2"/>
    </font>
    <font>
      <sz val="11"/>
      <color indexed="14"/>
      <name val="Calibri"/>
      <family val="2"/>
    </font>
    <font>
      <sz val="11"/>
      <color indexed="60"/>
      <name val="Calibri"/>
      <family val="2"/>
    </font>
    <font>
      <sz val="11"/>
      <color indexed="62"/>
      <name val="Calibri"/>
      <family val="2"/>
    </font>
    <font>
      <b/>
      <sz val="11"/>
      <color indexed="63"/>
      <name val="Calibri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8"/>
      <name val="Calibri"/>
      <family val="2"/>
    </font>
    <font>
      <sz val="12"/>
      <name val="Arial"/>
      <family val="2"/>
    </font>
    <font>
      <b/>
      <sz val="16"/>
      <name val="Arial"/>
    </font>
    <font>
      <sz val="14"/>
      <name val="Arial"/>
    </font>
    <font>
      <b/>
      <sz val="8"/>
      <color indexed="81"/>
      <name val="Tahoma"/>
    </font>
    <font>
      <sz val="8"/>
      <color indexed="81"/>
      <name val="Tahoma"/>
    </font>
    <font>
      <sz val="9"/>
      <color indexed="81"/>
      <name val="Arial"/>
      <family val="2"/>
    </font>
    <font>
      <b/>
      <sz val="9"/>
      <color indexed="81"/>
      <name val="Arial"/>
      <family val="2"/>
    </font>
    <font>
      <sz val="8"/>
      <name val="Verdana"/>
    </font>
  </fonts>
  <fills count="22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9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9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55"/>
      </patternFill>
    </fill>
    <fill>
      <patternFill patternType="solid">
        <fgColor indexed="42"/>
      </patternFill>
    </fill>
  </fills>
  <borders count="4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42">
    <xf numFmtId="0" fontId="0" fillId="0" borderId="0"/>
    <xf numFmtId="0" fontId="26" fillId="7" borderId="0" applyNumberFormat="0" applyBorder="0" applyAlignment="0" applyProtection="0"/>
    <xf numFmtId="0" fontId="26" fillId="8" borderId="0" applyNumberFormat="0" applyBorder="0" applyAlignment="0" applyProtection="0"/>
    <xf numFmtId="0" fontId="26" fillId="9" borderId="0" applyNumberFormat="0" applyBorder="0" applyAlignment="0" applyProtection="0"/>
    <xf numFmtId="0" fontId="26" fillId="7" borderId="0" applyNumberFormat="0" applyBorder="0" applyAlignment="0" applyProtection="0"/>
    <xf numFmtId="0" fontId="26" fillId="10" borderId="0" applyNumberFormat="0" applyBorder="0" applyAlignment="0" applyProtection="0"/>
    <xf numFmtId="0" fontId="26" fillId="8" borderId="0" applyNumberFormat="0" applyBorder="0" applyAlignment="0" applyProtection="0"/>
    <xf numFmtId="0" fontId="26" fillId="11" borderId="0" applyNumberFormat="0" applyBorder="0" applyAlignment="0" applyProtection="0"/>
    <xf numFmtId="0" fontId="26" fillId="12" borderId="0" applyNumberFormat="0" applyBorder="0" applyAlignment="0" applyProtection="0"/>
    <xf numFmtId="0" fontId="26" fillId="13" borderId="0" applyNumberFormat="0" applyBorder="0" applyAlignment="0" applyProtection="0"/>
    <xf numFmtId="0" fontId="26" fillId="11" borderId="0" applyNumberFormat="0" applyBorder="0" applyAlignment="0" applyProtection="0"/>
    <xf numFmtId="0" fontId="26" fillId="14" borderId="0" applyNumberFormat="0" applyBorder="0" applyAlignment="0" applyProtection="0"/>
    <xf numFmtId="0" fontId="26" fillId="8" borderId="0" applyNumberFormat="0" applyBorder="0" applyAlignment="0" applyProtection="0"/>
    <xf numFmtId="0" fontId="25" fillId="15" borderId="0" applyNumberFormat="0" applyBorder="0" applyAlignment="0" applyProtection="0"/>
    <xf numFmtId="0" fontId="25" fillId="12" borderId="0" applyNumberFormat="0" applyBorder="0" applyAlignment="0" applyProtection="0"/>
    <xf numFmtId="0" fontId="25" fillId="13" borderId="0" applyNumberFormat="0" applyBorder="0" applyAlignment="0" applyProtection="0"/>
    <xf numFmtId="0" fontId="25" fillId="11" borderId="0" applyNumberFormat="0" applyBorder="0" applyAlignment="0" applyProtection="0"/>
    <xf numFmtId="0" fontId="25" fillId="15" borderId="0" applyNumberFormat="0" applyBorder="0" applyAlignment="0" applyProtection="0"/>
    <xf numFmtId="0" fontId="25" fillId="8" borderId="0" applyNumberFormat="0" applyBorder="0" applyAlignment="0" applyProtection="0"/>
    <xf numFmtId="0" fontId="25" fillId="15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7" borderId="0" applyNumberFormat="0" applyBorder="0" applyAlignment="0" applyProtection="0"/>
    <xf numFmtId="0" fontId="25" fillId="15" borderId="0" applyNumberFormat="0" applyBorder="0" applyAlignment="0" applyProtection="0"/>
    <xf numFmtId="0" fontId="25" fillId="18" borderId="0" applyNumberFormat="0" applyBorder="0" applyAlignment="0" applyProtection="0"/>
    <xf numFmtId="0" fontId="15" fillId="19" borderId="0" applyNumberFormat="0" applyBorder="0" applyAlignment="0" applyProtection="0"/>
    <xf numFmtId="0" fontId="19" fillId="7" borderId="36" applyNumberFormat="0" applyAlignment="0" applyProtection="0"/>
    <xf numFmtId="0" fontId="21" fillId="20" borderId="37" applyNumberFormat="0" applyAlignment="0" applyProtection="0"/>
    <xf numFmtId="0" fontId="23" fillId="0" borderId="0" applyNumberFormat="0" applyFill="0" applyBorder="0" applyAlignment="0" applyProtection="0"/>
    <xf numFmtId="0" fontId="14" fillId="21" borderId="0" applyNumberFormat="0" applyBorder="0" applyAlignment="0" applyProtection="0"/>
    <xf numFmtId="0" fontId="11" fillId="0" borderId="38" applyNumberFormat="0" applyFill="0" applyAlignment="0" applyProtection="0"/>
    <xf numFmtId="0" fontId="12" fillId="0" borderId="39" applyNumberFormat="0" applyFill="0" applyAlignment="0" applyProtection="0"/>
    <xf numFmtId="0" fontId="13" fillId="0" borderId="40" applyNumberFormat="0" applyFill="0" applyAlignment="0" applyProtection="0"/>
    <xf numFmtId="0" fontId="13" fillId="0" borderId="0" applyNumberFormat="0" applyFill="0" applyBorder="0" applyAlignment="0" applyProtection="0"/>
    <xf numFmtId="0" fontId="17" fillId="8" borderId="36" applyNumberFormat="0" applyAlignment="0" applyProtection="0"/>
    <xf numFmtId="0" fontId="20" fillId="0" borderId="41" applyNumberFormat="0" applyFill="0" applyAlignment="0" applyProtection="0"/>
    <xf numFmtId="0" fontId="16" fillId="13" borderId="0" applyNumberFormat="0" applyBorder="0" applyAlignment="0" applyProtection="0"/>
    <xf numFmtId="0" fontId="5" fillId="9" borderId="42" applyNumberFormat="0" applyFont="0" applyAlignment="0" applyProtection="0"/>
    <xf numFmtId="0" fontId="18" fillId="7" borderId="43" applyNumberFormat="0" applyAlignment="0" applyProtection="0"/>
    <xf numFmtId="0" fontId="10" fillId="0" borderId="0" applyNumberFormat="0" applyFill="0" applyBorder="0" applyAlignment="0" applyProtection="0"/>
    <xf numFmtId="0" fontId="24" fillId="0" borderId="44" applyNumberFormat="0" applyFill="0" applyAlignment="0" applyProtection="0"/>
    <xf numFmtId="0" fontId="22" fillId="0" borderId="0" applyNumberFormat="0" applyFill="0" applyBorder="0" applyAlignment="0" applyProtection="0"/>
  </cellStyleXfs>
  <cellXfs count="181">
    <xf numFmtId="0" fontId="0" fillId="0" borderId="0" xfId="0"/>
    <xf numFmtId="49" fontId="0" fillId="0" borderId="0" xfId="0" applyNumberFormat="1"/>
    <xf numFmtId="0" fontId="2" fillId="0" borderId="0" xfId="0" applyFont="1" applyFill="1" applyAlignment="1">
      <alignment horizontal="center"/>
    </xf>
    <xf numFmtId="38" fontId="0" fillId="0" borderId="0" xfId="0" applyNumberFormat="1"/>
    <xf numFmtId="38" fontId="2" fillId="5" borderId="0" xfId="0" applyNumberFormat="1" applyFont="1" applyFill="1"/>
    <xf numFmtId="38" fontId="2" fillId="0" borderId="0" xfId="0" applyNumberFormat="1" applyFont="1" applyFill="1"/>
    <xf numFmtId="38" fontId="3" fillId="5" borderId="0" xfId="0" applyNumberFormat="1" applyFont="1" applyFill="1"/>
    <xf numFmtId="0" fontId="0" fillId="0" borderId="0" xfId="0" applyNumberFormat="1"/>
    <xf numFmtId="164" fontId="2" fillId="0" borderId="0" xfId="0" applyNumberFormat="1" applyFont="1" applyFill="1" applyAlignment="1">
      <alignment horizontal="center"/>
    </xf>
    <xf numFmtId="164" fontId="0" fillId="0" borderId="0" xfId="0" applyNumberFormat="1"/>
    <xf numFmtId="38" fontId="3" fillId="0" borderId="0" xfId="0" applyNumberFormat="1" applyFont="1"/>
    <xf numFmtId="38" fontId="5" fillId="0" borderId="0" xfId="0" applyNumberFormat="1" applyFont="1"/>
    <xf numFmtId="49" fontId="2" fillId="4" borderId="0" xfId="0" applyNumberFormat="1" applyFont="1" applyFill="1"/>
    <xf numFmtId="0" fontId="0" fillId="4" borderId="0" xfId="0" applyFill="1"/>
    <xf numFmtId="0" fontId="2" fillId="4" borderId="0" xfId="0" applyNumberFormat="1" applyFont="1" applyFill="1"/>
    <xf numFmtId="38" fontId="3" fillId="4" borderId="0" xfId="0" applyNumberFormat="1" applyFont="1" applyFill="1"/>
    <xf numFmtId="0" fontId="6" fillId="0" borderId="0" xfId="0" applyFont="1"/>
    <xf numFmtId="0" fontId="2" fillId="0" borderId="0" xfId="0" applyFont="1"/>
    <xf numFmtId="0" fontId="2" fillId="0" borderId="0" xfId="0" applyFont="1" applyAlignment="1">
      <alignment horizontal="right" vertical="top"/>
    </xf>
    <xf numFmtId="38" fontId="3" fillId="0" borderId="0" xfId="0" applyNumberFormat="1" applyFont="1" applyFill="1"/>
    <xf numFmtId="0" fontId="0" fillId="0" borderId="0" xfId="0" applyAlignment="1">
      <alignment horizontal="center"/>
    </xf>
    <xf numFmtId="49" fontId="2" fillId="0" borderId="0" xfId="0" applyNumberFormat="1" applyFont="1" applyFill="1"/>
    <xf numFmtId="0" fontId="0" fillId="0" borderId="0" xfId="0" applyFill="1"/>
    <xf numFmtId="0" fontId="2" fillId="0" borderId="0" xfId="0" applyNumberFormat="1" applyFont="1" applyFill="1"/>
    <xf numFmtId="49" fontId="2" fillId="4" borderId="0" xfId="0" applyNumberFormat="1" applyFont="1" applyFill="1" applyAlignment="1">
      <alignment horizontal="right"/>
    </xf>
    <xf numFmtId="49" fontId="2" fillId="0" borderId="0" xfId="0" applyNumberFormat="1" applyFont="1" applyFill="1" applyAlignment="1">
      <alignment horizontal="right"/>
    </xf>
    <xf numFmtId="0" fontId="2" fillId="0" borderId="0" xfId="0" applyFont="1" applyAlignment="1">
      <alignment horizontal="center"/>
    </xf>
    <xf numFmtId="0" fontId="0" fillId="0" borderId="0" xfId="0" applyAlignment="1"/>
    <xf numFmtId="0" fontId="2" fillId="0" borderId="0" xfId="0" applyFont="1" applyAlignment="1">
      <alignment horizontal="left"/>
    </xf>
    <xf numFmtId="164" fontId="7" fillId="0" borderId="0" xfId="0" applyNumberFormat="1" applyFont="1"/>
    <xf numFmtId="0" fontId="0" fillId="0" borderId="0" xfId="0" applyNumberFormat="1" applyFill="1"/>
    <xf numFmtId="164" fontId="2" fillId="0" borderId="0" xfId="0" applyNumberFormat="1" applyFont="1"/>
    <xf numFmtId="0" fontId="2" fillId="0" borderId="7" xfId="0" applyFont="1" applyBorder="1" applyAlignment="1">
      <alignment horizontal="left" indent="1"/>
    </xf>
    <xf numFmtId="0" fontId="2" fillId="0" borderId="7" xfId="0" applyFont="1" applyBorder="1" applyAlignment="1">
      <alignment horizontal="right" vertical="center" indent="1"/>
    </xf>
    <xf numFmtId="0" fontId="2" fillId="0" borderId="8" xfId="0" applyFont="1" applyBorder="1" applyAlignment="1">
      <alignment horizontal="right" vertical="center" indent="1"/>
    </xf>
    <xf numFmtId="0" fontId="2" fillId="0" borderId="27" xfId="0" applyFont="1" applyBorder="1" applyAlignment="1">
      <alignment horizontal="left" vertical="center" indent="1"/>
    </xf>
    <xf numFmtId="1" fontId="0" fillId="0" borderId="28" xfId="0" applyNumberFormat="1" applyFill="1" applyBorder="1" applyAlignment="1">
      <alignment horizontal="right" vertical="center" indent="1"/>
    </xf>
    <xf numFmtId="1" fontId="1" fillId="0" borderId="29" xfId="0" applyNumberFormat="1" applyFont="1" applyFill="1" applyBorder="1" applyAlignment="1">
      <alignment horizontal="right" vertical="center" indent="1"/>
    </xf>
    <xf numFmtId="0" fontId="2" fillId="0" borderId="0" xfId="0" applyFont="1" applyBorder="1" applyAlignment="1">
      <alignment horizontal="left" vertical="center" indent="1"/>
    </xf>
    <xf numFmtId="1" fontId="0" fillId="0" borderId="0" xfId="0" applyNumberFormat="1" applyFill="1" applyBorder="1" applyAlignment="1">
      <alignment horizontal="right" vertical="center" indent="1"/>
    </xf>
    <xf numFmtId="1" fontId="1" fillId="0" borderId="0" xfId="0" applyNumberFormat="1" applyFont="1" applyFill="1" applyBorder="1" applyAlignment="1">
      <alignment horizontal="right" vertical="center" indent="1"/>
    </xf>
    <xf numFmtId="0" fontId="2" fillId="0" borderId="7" xfId="0" applyFont="1" applyFill="1" applyBorder="1" applyAlignment="1">
      <alignment horizontal="right" indent="1"/>
    </xf>
    <xf numFmtId="0" fontId="2" fillId="0" borderId="8" xfId="0" applyFont="1" applyFill="1" applyBorder="1" applyAlignment="1">
      <alignment horizontal="right" indent="1"/>
    </xf>
    <xf numFmtId="0" fontId="2" fillId="0" borderId="27" xfId="0" applyFont="1" applyBorder="1" applyAlignment="1">
      <alignment horizontal="left" indent="1"/>
    </xf>
    <xf numFmtId="0" fontId="0" fillId="0" borderId="28" xfId="0" applyBorder="1" applyAlignment="1">
      <alignment horizontal="right" indent="1"/>
    </xf>
    <xf numFmtId="0" fontId="0" fillId="0" borderId="29" xfId="0" applyBorder="1" applyAlignment="1">
      <alignment horizontal="right" indent="1"/>
    </xf>
    <xf numFmtId="0" fontId="2" fillId="0" borderId="4" xfId="0" applyFont="1" applyBorder="1" applyAlignment="1">
      <alignment horizontal="left" indent="1"/>
    </xf>
    <xf numFmtId="0" fontId="0" fillId="0" borderId="5" xfId="0" applyBorder="1" applyAlignment="1">
      <alignment horizontal="right" indent="1"/>
    </xf>
    <xf numFmtId="0" fontId="2" fillId="3" borderId="7" xfId="0" applyFont="1" applyFill="1" applyBorder="1" applyAlignment="1">
      <alignment horizontal="left" indent="1"/>
    </xf>
    <xf numFmtId="0" fontId="2" fillId="3" borderId="7" xfId="0" applyFont="1" applyFill="1" applyBorder="1" applyAlignment="1">
      <alignment horizontal="right" vertical="center" indent="1"/>
    </xf>
    <xf numFmtId="0" fontId="2" fillId="3" borderId="8" xfId="0" applyFont="1" applyFill="1" applyBorder="1" applyAlignment="1">
      <alignment horizontal="right" vertical="center" indent="1"/>
    </xf>
    <xf numFmtId="0" fontId="2" fillId="3" borderId="27" xfId="0" applyFont="1" applyFill="1" applyBorder="1" applyAlignment="1">
      <alignment horizontal="left" vertical="center" indent="1"/>
    </xf>
    <xf numFmtId="1" fontId="0" fillId="3" borderId="28" xfId="0" applyNumberFormat="1" applyFill="1" applyBorder="1" applyAlignment="1">
      <alignment horizontal="right" vertical="center" indent="1"/>
    </xf>
    <xf numFmtId="1" fontId="1" fillId="3" borderId="29" xfId="0" applyNumberFormat="1" applyFont="1" applyFill="1" applyBorder="1" applyAlignment="1">
      <alignment horizontal="right" vertical="center" indent="1"/>
    </xf>
    <xf numFmtId="0" fontId="8" fillId="3" borderId="0" xfId="0" applyFont="1" applyFill="1"/>
    <xf numFmtId="0" fontId="8" fillId="3" borderId="0" xfId="0" applyNumberFormat="1" applyFont="1" applyFill="1"/>
    <xf numFmtId="38" fontId="9" fillId="3" borderId="0" xfId="0" applyNumberFormat="1" applyFont="1" applyFill="1"/>
    <xf numFmtId="0" fontId="0" fillId="3" borderId="0" xfId="0" applyFill="1"/>
    <xf numFmtId="0" fontId="0" fillId="3" borderId="0" xfId="0" applyNumberFormat="1" applyFill="1"/>
    <xf numFmtId="38" fontId="0" fillId="3" borderId="0" xfId="0" applyNumberFormat="1" applyFill="1"/>
    <xf numFmtId="0" fontId="8" fillId="0" borderId="0" xfId="0" applyFont="1"/>
    <xf numFmtId="0" fontId="8" fillId="0" borderId="0" xfId="0" applyFont="1" applyFill="1"/>
    <xf numFmtId="49" fontId="7" fillId="2" borderId="1" xfId="0" applyNumberFormat="1" applyFont="1" applyFill="1" applyBorder="1" applyAlignment="1">
      <alignment horizontal="center"/>
    </xf>
    <xf numFmtId="49" fontId="7" fillId="2" borderId="2" xfId="0" applyNumberFormat="1" applyFont="1" applyFill="1" applyBorder="1" applyAlignment="1">
      <alignment horizontal="center"/>
    </xf>
    <xf numFmtId="0" fontId="7" fillId="2" borderId="2" xfId="0" applyNumberFormat="1" applyFont="1" applyFill="1" applyBorder="1" applyAlignment="1">
      <alignment horizontal="center"/>
    </xf>
    <xf numFmtId="38" fontId="7" fillId="2" borderId="2" xfId="0" applyNumberFormat="1" applyFont="1" applyFill="1" applyBorder="1" applyAlignment="1">
      <alignment horizontal="center"/>
    </xf>
    <xf numFmtId="49" fontId="7" fillId="2" borderId="4" xfId="0" applyNumberFormat="1" applyFont="1" applyFill="1" applyBorder="1" applyAlignment="1">
      <alignment horizontal="center"/>
    </xf>
    <xf numFmtId="49" fontId="7" fillId="2" borderId="5" xfId="0" applyNumberFormat="1" applyFont="1" applyFill="1" applyBorder="1" applyAlignment="1">
      <alignment horizontal="center"/>
    </xf>
    <xf numFmtId="0" fontId="7" fillId="2" borderId="5" xfId="0" applyNumberFormat="1" applyFont="1" applyFill="1" applyBorder="1" applyAlignment="1">
      <alignment horizontal="center"/>
    </xf>
    <xf numFmtId="38" fontId="7" fillId="2" borderId="5" xfId="0" applyNumberFormat="1" applyFont="1" applyFill="1" applyBorder="1" applyAlignment="1">
      <alignment horizontal="center"/>
    </xf>
    <xf numFmtId="38" fontId="7" fillId="2" borderId="6" xfId="0" applyNumberFormat="1" applyFont="1" applyFill="1" applyBorder="1" applyAlignment="1">
      <alignment horizontal="center"/>
    </xf>
    <xf numFmtId="49" fontId="0" fillId="3" borderId="0" xfId="0" applyNumberFormat="1" applyFill="1"/>
    <xf numFmtId="49" fontId="2" fillId="0" borderId="0" xfId="0" applyNumberFormat="1" applyFont="1" applyFill="1" applyAlignment="1"/>
    <xf numFmtId="49" fontId="1" fillId="0" borderId="0" xfId="0" applyNumberFormat="1" applyFont="1"/>
    <xf numFmtId="0" fontId="0" fillId="0" borderId="0" xfId="0" applyFill="1" applyAlignment="1"/>
    <xf numFmtId="49" fontId="0" fillId="0" borderId="0" xfId="0" applyNumberFormat="1" applyFill="1"/>
    <xf numFmtId="38" fontId="0" fillId="0" borderId="0" xfId="0" applyNumberFormat="1" applyFill="1"/>
    <xf numFmtId="0" fontId="28" fillId="0" borderId="0" xfId="0" applyFont="1" applyFill="1"/>
    <xf numFmtId="14" fontId="28" fillId="0" borderId="0" xfId="0" applyNumberFormat="1" applyFont="1" applyFill="1" applyAlignment="1">
      <alignment horizontal="center"/>
    </xf>
    <xf numFmtId="0" fontId="8" fillId="2" borderId="0" xfId="0" applyFont="1" applyFill="1"/>
    <xf numFmtId="0" fontId="27" fillId="0" borderId="0" xfId="0" applyFont="1"/>
    <xf numFmtId="1" fontId="0" fillId="0" borderId="0" xfId="0" applyNumberFormat="1"/>
    <xf numFmtId="0" fontId="27" fillId="4" borderId="0" xfId="0" applyFont="1" applyFill="1"/>
    <xf numFmtId="38" fontId="0" fillId="4" borderId="0" xfId="0" applyNumberFormat="1" applyFill="1"/>
    <xf numFmtId="14" fontId="2" fillId="0" borderId="0" xfId="0" applyNumberFormat="1" applyFont="1" applyAlignment="1">
      <alignment horizontal="left"/>
    </xf>
    <xf numFmtId="0" fontId="2" fillId="2" borderId="9" xfId="0" applyFont="1" applyFill="1" applyBorder="1" applyAlignment="1">
      <alignment horizontal="right" indent="1"/>
    </xf>
    <xf numFmtId="0" fontId="2" fillId="2" borderId="10" xfId="0" applyFont="1" applyFill="1" applyBorder="1" applyAlignment="1">
      <alignment horizontal="right" indent="1"/>
    </xf>
    <xf numFmtId="0" fontId="2" fillId="2" borderId="31" xfId="0" applyFont="1" applyFill="1" applyBorder="1" applyAlignment="1">
      <alignment horizontal="right" vertical="center" indent="1"/>
    </xf>
    <xf numFmtId="0" fontId="2" fillId="2" borderId="10" xfId="0" applyFont="1" applyFill="1" applyBorder="1" applyAlignment="1">
      <alignment horizontal="right" vertical="center" indent="1"/>
    </xf>
    <xf numFmtId="0" fontId="27" fillId="6" borderId="0" xfId="0" applyFont="1" applyFill="1"/>
    <xf numFmtId="38" fontId="0" fillId="6" borderId="0" xfId="0" applyNumberFormat="1" applyFill="1"/>
    <xf numFmtId="0" fontId="2" fillId="0" borderId="0" xfId="0" applyFont="1" applyFill="1" applyAlignment="1">
      <alignment horizontal="right"/>
    </xf>
    <xf numFmtId="14" fontId="2" fillId="0" borderId="0" xfId="0" applyNumberFormat="1" applyFont="1" applyFill="1" applyAlignment="1">
      <alignment horizontal="right"/>
    </xf>
    <xf numFmtId="0" fontId="2" fillId="0" borderId="0" xfId="0" applyFont="1" applyBorder="1" applyAlignment="1">
      <alignment horizontal="left" indent="1"/>
    </xf>
    <xf numFmtId="0" fontId="0" fillId="0" borderId="0" xfId="0" applyBorder="1" applyAlignment="1">
      <alignment horizontal="right" indent="1"/>
    </xf>
    <xf numFmtId="0" fontId="0" fillId="0" borderId="30" xfId="0" applyBorder="1" applyAlignment="1">
      <alignment horizontal="right" indent="1"/>
    </xf>
    <xf numFmtId="0" fontId="0" fillId="0" borderId="0" xfId="0" applyFill="1" applyBorder="1" applyAlignment="1">
      <alignment horizontal="right" indent="1"/>
    </xf>
    <xf numFmtId="0" fontId="0" fillId="0" borderId="0" xfId="0" applyFill="1" applyBorder="1"/>
    <xf numFmtId="1" fontId="1" fillId="2" borderId="5" xfId="0" applyNumberFormat="1" applyFont="1" applyFill="1" applyBorder="1" applyAlignment="1">
      <alignment horizontal="right" vertical="center" indent="1"/>
    </xf>
    <xf numFmtId="1" fontId="1" fillId="2" borderId="6" xfId="0" applyNumberFormat="1" applyFont="1" applyFill="1" applyBorder="1" applyAlignment="1">
      <alignment horizontal="right" vertical="center" indent="1"/>
    </xf>
    <xf numFmtId="0" fontId="2" fillId="3" borderId="31" xfId="0" applyFont="1" applyFill="1" applyBorder="1" applyAlignment="1">
      <alignment horizontal="right" vertical="center" indent="1"/>
    </xf>
    <xf numFmtId="0" fontId="2" fillId="3" borderId="10" xfId="0" applyFont="1" applyFill="1" applyBorder="1" applyAlignment="1">
      <alignment horizontal="right" vertical="center" indent="1"/>
    </xf>
    <xf numFmtId="1" fontId="1" fillId="3" borderId="5" xfId="0" applyNumberFormat="1" applyFont="1" applyFill="1" applyBorder="1" applyAlignment="1">
      <alignment horizontal="right" vertical="center" indent="1"/>
    </xf>
    <xf numFmtId="1" fontId="1" fillId="3" borderId="6" xfId="0" applyNumberFormat="1" applyFont="1" applyFill="1" applyBorder="1" applyAlignment="1">
      <alignment horizontal="right" vertical="center" indent="1"/>
    </xf>
    <xf numFmtId="0" fontId="8" fillId="2" borderId="0" xfId="0" applyFont="1" applyFill="1" applyAlignment="1">
      <alignment horizontal="right"/>
    </xf>
    <xf numFmtId="0" fontId="29" fillId="3" borderId="0" xfId="0" applyFont="1" applyFill="1"/>
    <xf numFmtId="0" fontId="0" fillId="2" borderId="6" xfId="0" applyFill="1" applyBorder="1" applyAlignment="1">
      <alignment horizontal="center"/>
    </xf>
    <xf numFmtId="0" fontId="0" fillId="2" borderId="30" xfId="0" applyFill="1" applyBorder="1" applyAlignment="1">
      <alignment horizontal="right" indent="1"/>
    </xf>
    <xf numFmtId="38" fontId="1" fillId="0" borderId="0" xfId="0" applyNumberFormat="1" applyFont="1"/>
    <xf numFmtId="38" fontId="7" fillId="2" borderId="2" xfId="0" applyNumberFormat="1" applyFont="1" applyFill="1" applyBorder="1" applyAlignment="1">
      <alignment horizontal="center"/>
    </xf>
    <xf numFmtId="38" fontId="2" fillId="3" borderId="0" xfId="0" applyNumberFormat="1" applyFont="1" applyFill="1"/>
    <xf numFmtId="38" fontId="3" fillId="3" borderId="0" xfId="0" applyNumberFormat="1" applyFont="1" applyFill="1"/>
    <xf numFmtId="0" fontId="2" fillId="3" borderId="0" xfId="0" applyFont="1" applyFill="1"/>
    <xf numFmtId="0" fontId="2" fillId="3" borderId="0" xfId="0" applyNumberFormat="1" applyFont="1" applyFill="1"/>
    <xf numFmtId="0" fontId="1" fillId="0" borderId="0" xfId="0" applyFont="1"/>
    <xf numFmtId="0" fontId="2" fillId="6" borderId="0" xfId="0" applyFont="1" applyFill="1" applyAlignment="1">
      <alignment horizontal="right"/>
    </xf>
    <xf numFmtId="0" fontId="2" fillId="6" borderId="0" xfId="0" applyFont="1" applyFill="1"/>
    <xf numFmtId="0" fontId="0" fillId="6" borderId="1" xfId="0" applyFill="1" applyBorder="1"/>
    <xf numFmtId="38" fontId="0" fillId="6" borderId="3" xfId="0" applyNumberFormat="1" applyFill="1" applyBorder="1"/>
    <xf numFmtId="0" fontId="0" fillId="0" borderId="45" xfId="0" applyBorder="1"/>
    <xf numFmtId="38" fontId="0" fillId="0" borderId="46" xfId="0" applyNumberFormat="1" applyBorder="1"/>
    <xf numFmtId="0" fontId="0" fillId="0" borderId="46" xfId="0" applyBorder="1"/>
    <xf numFmtId="0" fontId="0" fillId="0" borderId="4" xfId="0" applyBorder="1"/>
    <xf numFmtId="38" fontId="0" fillId="0" borderId="6" xfId="0" applyNumberFormat="1" applyBorder="1"/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49" fontId="2" fillId="3" borderId="0" xfId="0" applyNumberFormat="1" applyFont="1" applyFill="1" applyAlignment="1"/>
    <xf numFmtId="0" fontId="0" fillId="3" borderId="0" xfId="0" applyFill="1" applyAlignment="1"/>
    <xf numFmtId="38" fontId="7" fillId="2" borderId="2" xfId="0" applyNumberFormat="1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49" fontId="7" fillId="2" borderId="2" xfId="0" applyNumberFormat="1" applyFont="1" applyFill="1" applyBorder="1" applyAlignment="1">
      <alignment horizontal="center" wrapText="1"/>
    </xf>
    <xf numFmtId="0" fontId="27" fillId="0" borderId="5" xfId="0" applyFont="1" applyBorder="1" applyAlignment="1">
      <alignment horizontal="center"/>
    </xf>
    <xf numFmtId="1" fontId="0" fillId="3" borderId="23" xfId="0" applyNumberFormat="1" applyFill="1" applyBorder="1" applyAlignment="1">
      <alignment horizontal="right" vertical="center" indent="1"/>
    </xf>
    <xf numFmtId="0" fontId="0" fillId="3" borderId="23" xfId="0" applyFill="1" applyBorder="1" applyAlignment="1">
      <alignment horizontal="right" vertical="center" indent="1"/>
    </xf>
    <xf numFmtId="1" fontId="0" fillId="3" borderId="32" xfId="0" applyNumberFormat="1" applyFill="1" applyBorder="1" applyAlignment="1">
      <alignment horizontal="right" vertical="center" indent="1"/>
    </xf>
    <xf numFmtId="0" fontId="2" fillId="3" borderId="11" xfId="0" applyFont="1" applyFill="1" applyBorder="1" applyAlignment="1">
      <alignment horizontal="left" vertical="center" indent="1"/>
    </xf>
    <xf numFmtId="0" fontId="0" fillId="3" borderId="15" xfId="0" applyFill="1" applyBorder="1" applyAlignment="1">
      <alignment horizontal="left" vertical="center" indent="1"/>
    </xf>
    <xf numFmtId="0" fontId="2" fillId="0" borderId="20" xfId="0" applyFont="1" applyBorder="1" applyAlignment="1">
      <alignment horizontal="left" vertical="center" indent="1"/>
    </xf>
    <xf numFmtId="0" fontId="0" fillId="0" borderId="15" xfId="0" applyBorder="1" applyAlignment="1">
      <alignment horizontal="left" vertical="center" indent="1"/>
    </xf>
    <xf numFmtId="0" fontId="0" fillId="0" borderId="21" xfId="0" applyBorder="1" applyAlignment="1">
      <alignment horizontal="right" vertical="center" indent="1"/>
    </xf>
    <xf numFmtId="0" fontId="0" fillId="0" borderId="16" xfId="0" applyBorder="1" applyAlignment="1">
      <alignment horizontal="right" vertical="center" indent="1"/>
    </xf>
    <xf numFmtId="0" fontId="2" fillId="0" borderId="11" xfId="0" applyFont="1" applyBorder="1" applyAlignment="1">
      <alignment horizontal="left" vertical="center" indent="1"/>
    </xf>
    <xf numFmtId="1" fontId="0" fillId="0" borderId="32" xfId="0" applyNumberFormat="1" applyFill="1" applyBorder="1" applyAlignment="1">
      <alignment horizontal="right" vertical="center" indent="1"/>
    </xf>
    <xf numFmtId="0" fontId="0" fillId="0" borderId="23" xfId="0" applyBorder="1" applyAlignment="1">
      <alignment horizontal="right" vertical="center" indent="1"/>
    </xf>
    <xf numFmtId="1" fontId="0" fillId="0" borderId="21" xfId="0" applyNumberFormat="1" applyBorder="1" applyAlignment="1">
      <alignment horizontal="right" vertical="center" indent="1"/>
    </xf>
    <xf numFmtId="1" fontId="0" fillId="0" borderId="16" xfId="0" applyNumberFormat="1" applyBorder="1" applyAlignment="1">
      <alignment horizontal="right" vertical="center" indent="1"/>
    </xf>
    <xf numFmtId="1" fontId="0" fillId="0" borderId="23" xfId="0" applyNumberFormat="1" applyFill="1" applyBorder="1" applyAlignment="1">
      <alignment horizontal="right" vertical="center" indent="1"/>
    </xf>
    <xf numFmtId="0" fontId="2" fillId="3" borderId="20" xfId="0" applyFont="1" applyFill="1" applyBorder="1" applyAlignment="1">
      <alignment horizontal="left" vertical="center" indent="1"/>
    </xf>
    <xf numFmtId="1" fontId="0" fillId="0" borderId="33" xfId="0" applyNumberFormat="1" applyFill="1" applyBorder="1" applyAlignment="1">
      <alignment horizontal="right" vertical="center" indent="1"/>
    </xf>
    <xf numFmtId="0" fontId="0" fillId="0" borderId="26" xfId="0" applyBorder="1" applyAlignment="1">
      <alignment horizontal="right" vertical="center" indent="1"/>
    </xf>
    <xf numFmtId="1" fontId="0" fillId="0" borderId="21" xfId="0" applyNumberFormat="1" applyFill="1" applyBorder="1" applyAlignment="1">
      <alignment horizontal="right" vertical="center" indent="1"/>
    </xf>
    <xf numFmtId="1" fontId="0" fillId="0" borderId="16" xfId="0" applyNumberFormat="1" applyFill="1" applyBorder="1" applyAlignment="1">
      <alignment horizontal="right" vertical="center" indent="1"/>
    </xf>
    <xf numFmtId="1" fontId="1" fillId="0" borderId="26" xfId="0" applyNumberFormat="1" applyFont="1" applyFill="1" applyBorder="1" applyAlignment="1">
      <alignment horizontal="right" vertical="center" indent="1"/>
    </xf>
    <xf numFmtId="1" fontId="0" fillId="0" borderId="26" xfId="0" applyNumberFormat="1" applyFill="1" applyBorder="1" applyAlignment="1">
      <alignment horizontal="right" vertical="center" indent="1"/>
    </xf>
    <xf numFmtId="1" fontId="1" fillId="2" borderId="12" xfId="0" applyNumberFormat="1" applyFont="1" applyFill="1" applyBorder="1" applyAlignment="1">
      <alignment horizontal="center" vertical="center"/>
    </xf>
    <xf numFmtId="1" fontId="1" fillId="2" borderId="18" xfId="0" applyNumberFormat="1" applyFont="1" applyFill="1" applyBorder="1" applyAlignment="1">
      <alignment horizontal="center" vertical="center"/>
    </xf>
    <xf numFmtId="1" fontId="1" fillId="2" borderId="14" xfId="0" applyNumberFormat="1" applyFont="1" applyFill="1" applyBorder="1" applyAlignment="1">
      <alignment horizontal="center" vertical="center"/>
    </xf>
    <xf numFmtId="1" fontId="1" fillId="2" borderId="19" xfId="0" applyNumberFormat="1" applyFont="1" applyFill="1" applyBorder="1" applyAlignment="1">
      <alignment horizontal="center" vertical="center"/>
    </xf>
    <xf numFmtId="1" fontId="1" fillId="2" borderId="23" xfId="0" applyNumberFormat="1" applyFont="1" applyFill="1" applyBorder="1" applyAlignment="1">
      <alignment horizontal="center" vertical="center"/>
    </xf>
    <xf numFmtId="1" fontId="1" fillId="2" borderId="21" xfId="0" applyNumberFormat="1" applyFont="1" applyFill="1" applyBorder="1" applyAlignment="1">
      <alignment horizontal="center" vertical="center"/>
    </xf>
    <xf numFmtId="1" fontId="1" fillId="2" borderId="24" xfId="0" applyNumberFormat="1" applyFont="1" applyFill="1" applyBorder="1" applyAlignment="1">
      <alignment horizontal="center" vertical="center"/>
    </xf>
    <xf numFmtId="1" fontId="1" fillId="2" borderId="25" xfId="0" applyNumberFormat="1" applyFont="1" applyFill="1" applyBorder="1" applyAlignment="1">
      <alignment horizontal="center" vertical="center"/>
    </xf>
    <xf numFmtId="1" fontId="0" fillId="2" borderId="13" xfId="0" applyNumberFormat="1" applyFill="1" applyBorder="1" applyAlignment="1">
      <alignment horizontal="center" vertical="center"/>
    </xf>
    <xf numFmtId="1" fontId="0" fillId="2" borderId="34" xfId="0" applyNumberFormat="1" applyFill="1" applyBorder="1" applyAlignment="1">
      <alignment horizontal="center" vertical="center"/>
    </xf>
    <xf numFmtId="1" fontId="0" fillId="2" borderId="14" xfId="0" applyNumberFormat="1" applyFill="1" applyBorder="1" applyAlignment="1">
      <alignment horizontal="center" vertical="center"/>
    </xf>
    <xf numFmtId="1" fontId="0" fillId="2" borderId="19" xfId="0" applyNumberFormat="1" applyFill="1" applyBorder="1" applyAlignment="1">
      <alignment horizontal="center" vertical="center"/>
    </xf>
    <xf numFmtId="1" fontId="0" fillId="2" borderId="22" xfId="0" applyNumberForma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right" vertical="center" indent="1"/>
    </xf>
    <xf numFmtId="0" fontId="1" fillId="0" borderId="17" xfId="0" applyFont="1" applyFill="1" applyBorder="1" applyAlignment="1">
      <alignment horizontal="right" vertical="center" indent="1"/>
    </xf>
    <xf numFmtId="0" fontId="0" fillId="0" borderId="21" xfId="0" applyFill="1" applyBorder="1" applyAlignment="1">
      <alignment horizontal="right" vertical="center" indent="1"/>
    </xf>
    <xf numFmtId="0" fontId="0" fillId="0" borderId="16" xfId="0" applyFill="1" applyBorder="1" applyAlignment="1">
      <alignment horizontal="right" vertical="center" indent="1"/>
    </xf>
    <xf numFmtId="0" fontId="1" fillId="0" borderId="22" xfId="0" applyFont="1" applyFill="1" applyBorder="1" applyAlignment="1">
      <alignment horizontal="right" vertical="center" indent="1"/>
    </xf>
    <xf numFmtId="0" fontId="0" fillId="0" borderId="12" xfId="0" applyBorder="1" applyAlignment="1">
      <alignment horizontal="right" vertical="center" indent="1"/>
    </xf>
    <xf numFmtId="1" fontId="1" fillId="0" borderId="22" xfId="0" applyNumberFormat="1" applyFont="1" applyFill="1" applyBorder="1" applyAlignment="1">
      <alignment horizontal="right" vertical="center" indent="1"/>
    </xf>
    <xf numFmtId="1" fontId="1" fillId="0" borderId="17" xfId="0" applyNumberFormat="1" applyFont="1" applyFill="1" applyBorder="1" applyAlignment="1">
      <alignment horizontal="right" vertical="center" indent="1"/>
    </xf>
    <xf numFmtId="0" fontId="0" fillId="0" borderId="12" xfId="0" applyFill="1" applyBorder="1" applyAlignment="1">
      <alignment horizontal="right" vertical="center" indent="1"/>
    </xf>
    <xf numFmtId="1" fontId="0" fillId="3" borderId="35" xfId="0" applyNumberFormat="1" applyFill="1" applyBorder="1" applyAlignment="1">
      <alignment horizontal="right" vertical="center" indent="1"/>
    </xf>
    <xf numFmtId="0" fontId="0" fillId="3" borderId="24" xfId="0" applyFill="1" applyBorder="1" applyAlignment="1">
      <alignment horizontal="right" vertical="center" indent="1"/>
    </xf>
    <xf numFmtId="1" fontId="0" fillId="3" borderId="24" xfId="0" applyNumberFormat="1" applyFill="1" applyBorder="1" applyAlignment="1">
      <alignment horizontal="right" vertical="center" indent="1"/>
    </xf>
    <xf numFmtId="1" fontId="0" fillId="2" borderId="25" xfId="0" applyNumberFormat="1" applyFill="1" applyBorder="1" applyAlignment="1">
      <alignment horizontal="center" vertical="center"/>
    </xf>
    <xf numFmtId="1" fontId="1" fillId="2" borderId="24" xfId="0" applyNumberFormat="1" applyFont="1" applyFill="1" applyBorder="1" applyAlignment="1">
      <alignment horizontal="right" vertical="center" indent="1"/>
    </xf>
  </cellXfs>
  <cellStyles count="42">
    <cellStyle name="20% - Accent1" xfId="1"/>
    <cellStyle name="20% - Accent2" xfId="2"/>
    <cellStyle name="20% - Accent3" xfId="3"/>
    <cellStyle name="20% - Accent4" xfId="4"/>
    <cellStyle name="20% - Accent5" xfId="5"/>
    <cellStyle name="20% - Accent6" xfId="6"/>
    <cellStyle name="40% - Accent1" xfId="7"/>
    <cellStyle name="40% - Accent2" xfId="8"/>
    <cellStyle name="40% - Accent3" xfId="9"/>
    <cellStyle name="40% - Accent4" xfId="10"/>
    <cellStyle name="40% - Accent5" xfId="11"/>
    <cellStyle name="40% - Accent6" xfId="12"/>
    <cellStyle name="60% - Accent1" xfId="13"/>
    <cellStyle name="60% - Accent2" xfId="14"/>
    <cellStyle name="60% - Accent3" xfId="15"/>
    <cellStyle name="60% - Accent4" xfId="16"/>
    <cellStyle name="60% - Accent5" xfId="17"/>
    <cellStyle name="60% - Accent6" xfId="18"/>
    <cellStyle name="Accent1" xfId="19"/>
    <cellStyle name="Accent2" xfId="20"/>
    <cellStyle name="Accent3" xfId="21"/>
    <cellStyle name="Accent4" xfId="22"/>
    <cellStyle name="Accent5" xfId="23"/>
    <cellStyle name="Accent6" xfId="24"/>
    <cellStyle name="Bad" xfId="25"/>
    <cellStyle name="Calculation" xfId="26"/>
    <cellStyle name="Check Cell" xfId="27"/>
    <cellStyle name="Explanatory Text" xfId="28"/>
    <cellStyle name="Good" xfId="29"/>
    <cellStyle name="Heading 1" xfId="30"/>
    <cellStyle name="Heading 2" xfId="31"/>
    <cellStyle name="Heading 3" xfId="32"/>
    <cellStyle name="Heading 4" xfId="33"/>
    <cellStyle name="Input" xfId="34"/>
    <cellStyle name="Linked Cell" xfId="35"/>
    <cellStyle name="Neutral" xfId="36"/>
    <cellStyle name="Normal" xfId="0" builtinId="0"/>
    <cellStyle name="Note" xfId="37"/>
    <cellStyle name="Output" xfId="38"/>
    <cellStyle name="Title" xfId="39"/>
    <cellStyle name="Total" xfId="40"/>
    <cellStyle name="Warning Text" xfId="41"/>
  </cellStyles>
  <dxfs count="0"/>
  <tableStyles count="0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4" Type="http://schemas.openxmlformats.org/officeDocument/2006/relationships/theme" Target="theme/theme1.xml"/><Relationship Id="rId5" Type="http://schemas.openxmlformats.org/officeDocument/2006/relationships/connections" Target="connection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6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2"/>
  <c:chart>
    <c:view3D>
      <c:rAngAx val="1"/>
    </c:view3D>
    <c:plotArea>
      <c:layout/>
      <c:bar3DChart>
        <c:barDir val="col"/>
        <c:grouping val="clustered"/>
        <c:ser>
          <c:idx val="0"/>
          <c:order val="0"/>
          <c:cat>
            <c:strRef>
              <c:f>'v11'!$A$112:$A$119</c:f>
              <c:strCache>
                <c:ptCount val="8"/>
                <c:pt idx="0">
                  <c:v>T1</c:v>
                </c:pt>
                <c:pt idx="1">
                  <c:v>NET2</c:v>
                </c:pt>
                <c:pt idx="2">
                  <c:v>SWT2</c:v>
                </c:pt>
                <c:pt idx="3">
                  <c:v>MWT2</c:v>
                </c:pt>
                <c:pt idx="4">
                  <c:v>AGLT2</c:v>
                </c:pt>
                <c:pt idx="5">
                  <c:v>WT2</c:v>
                </c:pt>
                <c:pt idx="6">
                  <c:v>Facility Total</c:v>
                </c:pt>
                <c:pt idx="7">
                  <c:v>Tier2 Total</c:v>
                </c:pt>
              </c:strCache>
            </c:strRef>
          </c:cat>
          <c:val>
            <c:numRef>
              <c:f>'v11'!$B$112:$B$119</c:f>
              <c:numCache>
                <c:formatCode>#,##0_);[Red]\(#,##0\)</c:formatCode>
                <c:ptCount val="8"/>
                <c:pt idx="0">
                  <c:v>3000.0</c:v>
                </c:pt>
                <c:pt idx="1">
                  <c:v>572.0</c:v>
                </c:pt>
                <c:pt idx="2">
                  <c:v>1316.0</c:v>
                </c:pt>
                <c:pt idx="3">
                  <c:v>2184.0</c:v>
                </c:pt>
                <c:pt idx="4">
                  <c:v>1652.0</c:v>
                </c:pt>
                <c:pt idx="5" formatCode="General">
                  <c:v>611.1600000000001</c:v>
                </c:pt>
                <c:pt idx="6">
                  <c:v>9335.16</c:v>
                </c:pt>
                <c:pt idx="7">
                  <c:v>6335.16</c:v>
                </c:pt>
              </c:numCache>
            </c:numRef>
          </c:val>
        </c:ser>
        <c:shape val="cylinder"/>
        <c:axId val="544467688"/>
        <c:axId val="544447448"/>
        <c:axId val="0"/>
      </c:bar3DChart>
      <c:catAx>
        <c:axId val="544467688"/>
        <c:scaling>
          <c:orientation val="minMax"/>
        </c:scaling>
        <c:axPos val="b"/>
        <c:tickLblPos val="nextTo"/>
        <c:crossAx val="544447448"/>
        <c:crosses val="autoZero"/>
        <c:auto val="1"/>
        <c:lblAlgn val="ctr"/>
        <c:lblOffset val="100"/>
      </c:catAx>
      <c:valAx>
        <c:axId val="54444744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 Cores</a:t>
                </a:r>
              </a:p>
            </c:rich>
          </c:tx>
          <c:layout/>
        </c:title>
        <c:numFmt formatCode="#,##0_);[Red]\(#,##0\)" sourceLinked="1"/>
        <c:tickLblPos val="nextTo"/>
        <c:crossAx val="544467688"/>
        <c:crosses val="autoZero"/>
        <c:crossBetween val="between"/>
      </c:valAx>
    </c:plotArea>
    <c:plotVisOnly val="1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Installed CPU vs WLCG Pledge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WLCG!$K$74</c:f>
              <c:strCache>
                <c:ptCount val="1"/>
                <c:pt idx="0">
                  <c:v>CPU Installed (SI2K)</c:v>
                </c:pt>
              </c:strCache>
            </c:strRef>
          </c:tx>
          <c:cat>
            <c:strRef>
              <c:f>WLCG!$J$75:$J$79</c:f>
              <c:strCache>
                <c:ptCount val="5"/>
                <c:pt idx="0">
                  <c:v>NET2</c:v>
                </c:pt>
                <c:pt idx="1">
                  <c:v>SWT2</c:v>
                </c:pt>
                <c:pt idx="2">
                  <c:v>MWT2</c:v>
                </c:pt>
                <c:pt idx="3">
                  <c:v>AGLT2</c:v>
                </c:pt>
                <c:pt idx="4">
                  <c:v>WT2</c:v>
                </c:pt>
              </c:strCache>
            </c:strRef>
          </c:cat>
          <c:val>
            <c:numRef>
              <c:f>WLCG!$K$75:$K$79</c:f>
              <c:numCache>
                <c:formatCode>#,##0_);[Red]\(#,##0\)</c:formatCode>
                <c:ptCount val="5"/>
                <c:pt idx="0">
                  <c:v>1.375816E6</c:v>
                </c:pt>
                <c:pt idx="1">
                  <c:v>2.341916E6</c:v>
                </c:pt>
                <c:pt idx="2">
                  <c:v>4.770976E6</c:v>
                </c:pt>
                <c:pt idx="3">
                  <c:v>4.677868E6</c:v>
                </c:pt>
                <c:pt idx="4">
                  <c:v>1.171567764E6</c:v>
                </c:pt>
              </c:numCache>
            </c:numRef>
          </c:val>
        </c:ser>
        <c:ser>
          <c:idx val="1"/>
          <c:order val="1"/>
          <c:tx>
            <c:strRef>
              <c:f>WLCG!$L$74</c:f>
              <c:strCache>
                <c:ptCount val="1"/>
                <c:pt idx="0">
                  <c:v>CPU P2007 (SI2K)</c:v>
                </c:pt>
              </c:strCache>
            </c:strRef>
          </c:tx>
          <c:cat>
            <c:strRef>
              <c:f>WLCG!$J$75:$J$79</c:f>
              <c:strCache>
                <c:ptCount val="5"/>
                <c:pt idx="0">
                  <c:v>NET2</c:v>
                </c:pt>
                <c:pt idx="1">
                  <c:v>SWT2</c:v>
                </c:pt>
                <c:pt idx="2">
                  <c:v>MWT2</c:v>
                </c:pt>
                <c:pt idx="3">
                  <c:v>AGLT2</c:v>
                </c:pt>
                <c:pt idx="4">
                  <c:v>WT2</c:v>
                </c:pt>
              </c:strCache>
            </c:strRef>
          </c:cat>
          <c:val>
            <c:numRef>
              <c:f>WLCG!$L$75:$L$79</c:f>
              <c:numCache>
                <c:formatCode>#,##0_);[Red]\(#,##0\)</c:formatCode>
                <c:ptCount val="5"/>
                <c:pt idx="0">
                  <c:v>394000.0</c:v>
                </c:pt>
                <c:pt idx="1">
                  <c:v>998000.0</c:v>
                </c:pt>
                <c:pt idx="2">
                  <c:v>826000.0</c:v>
                </c:pt>
                <c:pt idx="3">
                  <c:v>581000.0</c:v>
                </c:pt>
                <c:pt idx="4">
                  <c:v>550000.0</c:v>
                </c:pt>
              </c:numCache>
            </c:numRef>
          </c:val>
        </c:ser>
        <c:ser>
          <c:idx val="2"/>
          <c:order val="2"/>
          <c:tx>
            <c:strRef>
              <c:f>WLCG!$M$74</c:f>
              <c:strCache>
                <c:ptCount val="1"/>
                <c:pt idx="0">
                  <c:v>CPU P2008 (SI2K)</c:v>
                </c:pt>
              </c:strCache>
            </c:strRef>
          </c:tx>
          <c:cat>
            <c:strRef>
              <c:f>WLCG!$J$75:$J$79</c:f>
              <c:strCache>
                <c:ptCount val="5"/>
                <c:pt idx="0">
                  <c:v>NET2</c:v>
                </c:pt>
                <c:pt idx="1">
                  <c:v>SWT2</c:v>
                </c:pt>
                <c:pt idx="2">
                  <c:v>MWT2</c:v>
                </c:pt>
                <c:pt idx="3">
                  <c:v>AGLT2</c:v>
                </c:pt>
                <c:pt idx="4">
                  <c:v>WT2</c:v>
                </c:pt>
              </c:strCache>
            </c:strRef>
          </c:cat>
          <c:val>
            <c:numRef>
              <c:f>WLCG!$M$75:$M$79</c:f>
              <c:numCache>
                <c:formatCode>#,##0_);[Red]\(#,##0\)</c:formatCode>
                <c:ptCount val="5"/>
                <c:pt idx="0">
                  <c:v>665000.0</c:v>
                </c:pt>
                <c:pt idx="1">
                  <c:v>1.386E6</c:v>
                </c:pt>
                <c:pt idx="2">
                  <c:v>1.112E6</c:v>
                </c:pt>
                <c:pt idx="3">
                  <c:v>965000.0</c:v>
                </c:pt>
                <c:pt idx="4">
                  <c:v>820000.0</c:v>
                </c:pt>
              </c:numCache>
            </c:numRef>
          </c:val>
        </c:ser>
        <c:ser>
          <c:idx val="3"/>
          <c:order val="3"/>
          <c:tx>
            <c:strRef>
              <c:f>WLCG!$N$74</c:f>
              <c:strCache>
                <c:ptCount val="1"/>
                <c:pt idx="0">
                  <c:v>CPU P2009 (SI2K)</c:v>
                </c:pt>
              </c:strCache>
            </c:strRef>
          </c:tx>
          <c:cat>
            <c:strRef>
              <c:f>WLCG!$J$75:$J$79</c:f>
              <c:strCache>
                <c:ptCount val="5"/>
                <c:pt idx="0">
                  <c:v>NET2</c:v>
                </c:pt>
                <c:pt idx="1">
                  <c:v>SWT2</c:v>
                </c:pt>
                <c:pt idx="2">
                  <c:v>MWT2</c:v>
                </c:pt>
                <c:pt idx="3">
                  <c:v>AGLT2</c:v>
                </c:pt>
                <c:pt idx="4">
                  <c:v>WT2</c:v>
                </c:pt>
              </c:strCache>
            </c:strRef>
          </c:cat>
          <c:val>
            <c:numRef>
              <c:f>WLCG!$N$75:$N$79</c:f>
              <c:numCache>
                <c:formatCode>#,##0_);[Red]\(#,##0\)</c:formatCode>
                <c:ptCount val="5"/>
                <c:pt idx="0">
                  <c:v>1.049E6</c:v>
                </c:pt>
                <c:pt idx="1">
                  <c:v>1.734E6</c:v>
                </c:pt>
                <c:pt idx="2">
                  <c:v>978000.0</c:v>
                </c:pt>
                <c:pt idx="3">
                  <c:v>1.406E6</c:v>
                </c:pt>
                <c:pt idx="4">
                  <c:v>1.202E6</c:v>
                </c:pt>
              </c:numCache>
            </c:numRef>
          </c:val>
        </c:ser>
        <c:ser>
          <c:idx val="4"/>
          <c:order val="4"/>
          <c:tx>
            <c:strRef>
              <c:f>WLCG!$O$74</c:f>
              <c:strCache>
                <c:ptCount val="1"/>
                <c:pt idx="0">
                  <c:v>CPU P2010 (SI2K)</c:v>
                </c:pt>
              </c:strCache>
            </c:strRef>
          </c:tx>
          <c:cat>
            <c:strRef>
              <c:f>WLCG!$J$75:$J$79</c:f>
              <c:strCache>
                <c:ptCount val="5"/>
                <c:pt idx="0">
                  <c:v>NET2</c:v>
                </c:pt>
                <c:pt idx="1">
                  <c:v>SWT2</c:v>
                </c:pt>
                <c:pt idx="2">
                  <c:v>MWT2</c:v>
                </c:pt>
                <c:pt idx="3">
                  <c:v>AGLT2</c:v>
                </c:pt>
                <c:pt idx="4">
                  <c:v>WT2</c:v>
                </c:pt>
              </c:strCache>
            </c:strRef>
          </c:cat>
          <c:val>
            <c:numRef>
              <c:f>WLCG!$O$75:$O$79</c:f>
              <c:numCache>
                <c:formatCode>#,##0_);[Red]\(#,##0\)</c:formatCode>
                <c:ptCount val="5"/>
                <c:pt idx="0">
                  <c:v>1.592E6</c:v>
                </c:pt>
                <c:pt idx="1">
                  <c:v>1.966E6</c:v>
                </c:pt>
                <c:pt idx="2">
                  <c:v>1.262E6</c:v>
                </c:pt>
                <c:pt idx="3">
                  <c:v>1.67E6</c:v>
                </c:pt>
                <c:pt idx="4">
                  <c:v>1.191E6</c:v>
                </c:pt>
              </c:numCache>
            </c:numRef>
          </c:val>
        </c:ser>
        <c:ser>
          <c:idx val="5"/>
          <c:order val="5"/>
          <c:tx>
            <c:strRef>
              <c:f>WLCG!$P$74</c:f>
              <c:strCache>
                <c:ptCount val="1"/>
                <c:pt idx="0">
                  <c:v>CPU P2011 (SI2K)</c:v>
                </c:pt>
              </c:strCache>
            </c:strRef>
          </c:tx>
          <c:cat>
            <c:strRef>
              <c:f>WLCG!$J$75:$J$79</c:f>
              <c:strCache>
                <c:ptCount val="5"/>
                <c:pt idx="0">
                  <c:v>NET2</c:v>
                </c:pt>
                <c:pt idx="1">
                  <c:v>SWT2</c:v>
                </c:pt>
                <c:pt idx="2">
                  <c:v>MWT2</c:v>
                </c:pt>
                <c:pt idx="3">
                  <c:v>AGLT2</c:v>
                </c:pt>
                <c:pt idx="4">
                  <c:v>WT2</c:v>
                </c:pt>
              </c:strCache>
            </c:strRef>
          </c:cat>
          <c:val>
            <c:numRef>
              <c:f>WLCG!$P$75:$P$79</c:f>
              <c:numCache>
                <c:formatCode>#,##0_);[Red]\(#,##0\)</c:formatCode>
                <c:ptCount val="5"/>
                <c:pt idx="0">
                  <c:v>1.966E6</c:v>
                </c:pt>
                <c:pt idx="1">
                  <c:v>2.514E6</c:v>
                </c:pt>
                <c:pt idx="2">
                  <c:v>1.785E6</c:v>
                </c:pt>
                <c:pt idx="3">
                  <c:v>2.032E6</c:v>
                </c:pt>
                <c:pt idx="4">
                  <c:v>1.685E6</c:v>
                </c:pt>
              </c:numCache>
            </c:numRef>
          </c:val>
        </c:ser>
        <c:ser>
          <c:idx val="6"/>
          <c:order val="6"/>
          <c:tx>
            <c:strRef>
              <c:f>WLCG!$Q$74</c:f>
              <c:strCache>
                <c:ptCount val="1"/>
                <c:pt idx="0">
                  <c:v>CPU P2012 (SI2K)</c:v>
                </c:pt>
              </c:strCache>
            </c:strRef>
          </c:tx>
          <c:cat>
            <c:strRef>
              <c:f>WLCG!$J$75:$J$79</c:f>
              <c:strCache>
                <c:ptCount val="5"/>
                <c:pt idx="0">
                  <c:v>NET2</c:v>
                </c:pt>
                <c:pt idx="1">
                  <c:v>SWT2</c:v>
                </c:pt>
                <c:pt idx="2">
                  <c:v>MWT2</c:v>
                </c:pt>
                <c:pt idx="3">
                  <c:v>AGLT2</c:v>
                </c:pt>
                <c:pt idx="4">
                  <c:v>WT2</c:v>
                </c:pt>
              </c:strCache>
            </c:strRef>
          </c:cat>
          <c:val>
            <c:numRef>
              <c:f>WLCG!$Q$75:$Q$79</c:f>
              <c:numCache>
                <c:formatCode>#,##0_);[Red]\(#,##0\)</c:formatCode>
                <c:ptCount val="5"/>
                <c:pt idx="0">
                  <c:v>3.9896E6</c:v>
                </c:pt>
                <c:pt idx="1">
                  <c:v>3.9896E6</c:v>
                </c:pt>
                <c:pt idx="2">
                  <c:v>3.9896E6</c:v>
                </c:pt>
                <c:pt idx="3">
                  <c:v>3.9896E6</c:v>
                </c:pt>
                <c:pt idx="4">
                  <c:v>3.9896E6</c:v>
                </c:pt>
              </c:numCache>
            </c:numRef>
          </c:val>
        </c:ser>
        <c:ser>
          <c:idx val="7"/>
          <c:order val="7"/>
          <c:tx>
            <c:strRef>
              <c:f>WLCG!$R$74</c:f>
              <c:strCache>
                <c:ptCount val="1"/>
                <c:pt idx="0">
                  <c:v>CPU P2013 (SI2K)</c:v>
                </c:pt>
              </c:strCache>
            </c:strRef>
          </c:tx>
          <c:cat>
            <c:strRef>
              <c:f>WLCG!$J$75:$J$79</c:f>
              <c:strCache>
                <c:ptCount val="5"/>
                <c:pt idx="0">
                  <c:v>NET2</c:v>
                </c:pt>
                <c:pt idx="1">
                  <c:v>SWT2</c:v>
                </c:pt>
                <c:pt idx="2">
                  <c:v>MWT2</c:v>
                </c:pt>
                <c:pt idx="3">
                  <c:v>AGLT2</c:v>
                </c:pt>
                <c:pt idx="4">
                  <c:v>WT2</c:v>
                </c:pt>
              </c:strCache>
            </c:strRef>
          </c:cat>
          <c:val>
            <c:numRef>
              <c:f>WLCG!$R$75:$R$79</c:f>
              <c:numCache>
                <c:formatCode>#,##0_);[Red]\(#,##0\)</c:formatCode>
                <c:ptCount val="5"/>
                <c:pt idx="0">
                  <c:v>5.474E6</c:v>
                </c:pt>
                <c:pt idx="1">
                  <c:v>5.474E6</c:v>
                </c:pt>
                <c:pt idx="2">
                  <c:v>5.474E6</c:v>
                </c:pt>
                <c:pt idx="3">
                  <c:v>5.474E6</c:v>
                </c:pt>
                <c:pt idx="4">
                  <c:v>5.474E6</c:v>
                </c:pt>
              </c:numCache>
            </c:numRef>
          </c:val>
        </c:ser>
        <c:axId val="545128728"/>
        <c:axId val="545134584"/>
      </c:barChart>
      <c:catAx>
        <c:axId val="54512872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Tier 2 Facility</a:t>
                </a:r>
              </a:p>
            </c:rich>
          </c:tx>
          <c:layout/>
        </c:title>
        <c:tickLblPos val="nextTo"/>
        <c:crossAx val="545134584"/>
        <c:crosses val="autoZero"/>
        <c:auto val="1"/>
        <c:lblAlgn val="ctr"/>
        <c:lblOffset val="100"/>
      </c:catAx>
      <c:valAx>
        <c:axId val="54513458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CPU (SI2K)</a:t>
                </a:r>
              </a:p>
            </c:rich>
          </c:tx>
          <c:layout/>
        </c:title>
        <c:numFmt formatCode="#,##0_);[Red]\(#,##0\)" sourceLinked="1"/>
        <c:tickLblPos val="nextTo"/>
        <c:crossAx val="54512872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2"/>
  <c:chart>
    <c:view3D>
      <c:rAngAx val="1"/>
    </c:view3D>
    <c:plotArea>
      <c:layout/>
      <c:bar3DChart>
        <c:barDir val="col"/>
        <c:grouping val="clustered"/>
        <c:ser>
          <c:idx val="0"/>
          <c:order val="0"/>
          <c:cat>
            <c:strRef>
              <c:f>'v10'!$A$114:$A$121</c:f>
              <c:strCache>
                <c:ptCount val="8"/>
                <c:pt idx="0">
                  <c:v>T1</c:v>
                </c:pt>
                <c:pt idx="1">
                  <c:v>NET2</c:v>
                </c:pt>
                <c:pt idx="2">
                  <c:v>SWT2</c:v>
                </c:pt>
                <c:pt idx="3">
                  <c:v>MWT2</c:v>
                </c:pt>
                <c:pt idx="4">
                  <c:v>AGLT2</c:v>
                </c:pt>
                <c:pt idx="5">
                  <c:v>WT2</c:v>
                </c:pt>
                <c:pt idx="6">
                  <c:v>Total</c:v>
                </c:pt>
                <c:pt idx="7">
                  <c:v>Tier2</c:v>
                </c:pt>
              </c:strCache>
            </c:strRef>
          </c:cat>
          <c:val>
            <c:numRef>
              <c:f>'v10'!$B$114:$B$121</c:f>
              <c:numCache>
                <c:formatCode>#,##0_);[Red]\(#,##0\)</c:formatCode>
                <c:ptCount val="8"/>
                <c:pt idx="0">
                  <c:v>3000.0</c:v>
                </c:pt>
                <c:pt idx="1">
                  <c:v>492.0</c:v>
                </c:pt>
                <c:pt idx="2">
                  <c:v>1316.0</c:v>
                </c:pt>
                <c:pt idx="3">
                  <c:v>1832.0</c:v>
                </c:pt>
                <c:pt idx="4">
                  <c:v>924.0</c:v>
                </c:pt>
                <c:pt idx="5" formatCode="General">
                  <c:v>611.1600000000001</c:v>
                </c:pt>
                <c:pt idx="6">
                  <c:v>8175.16</c:v>
                </c:pt>
                <c:pt idx="7">
                  <c:v>5175.16</c:v>
                </c:pt>
              </c:numCache>
            </c:numRef>
          </c:val>
        </c:ser>
        <c:shape val="cylinder"/>
        <c:axId val="544662488"/>
        <c:axId val="544665640"/>
        <c:axId val="0"/>
      </c:bar3DChart>
      <c:catAx>
        <c:axId val="544662488"/>
        <c:scaling>
          <c:orientation val="minMax"/>
        </c:scaling>
        <c:axPos val="b"/>
        <c:tickLblPos val="nextTo"/>
        <c:crossAx val="544665640"/>
        <c:crosses val="autoZero"/>
        <c:auto val="1"/>
        <c:lblAlgn val="ctr"/>
        <c:lblOffset val="100"/>
      </c:catAx>
      <c:valAx>
        <c:axId val="54466564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 Cores</a:t>
                </a:r>
              </a:p>
            </c:rich>
          </c:tx>
        </c:title>
        <c:numFmt formatCode="#,##0_);[Red]\(#,##0\)" sourceLinked="1"/>
        <c:tickLblPos val="nextTo"/>
        <c:crossAx val="544662488"/>
        <c:crosses val="autoZero"/>
        <c:crossBetween val="between"/>
      </c:valAx>
    </c:plotArea>
    <c:plotVisOnly val="1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Installed</a:t>
            </a:r>
            <a:r>
              <a:rPr lang="en-US" baseline="0"/>
              <a:t> Disk</a:t>
            </a:r>
            <a:r>
              <a:rPr lang="en-US"/>
              <a:t> vs WLCG Pledge</a:t>
            </a:r>
          </a:p>
        </c:rich>
      </c:tx>
      <c:layout>
        <c:manualLayout>
          <c:xMode val="edge"/>
          <c:yMode val="edge"/>
          <c:x val="0.325800634753292"/>
          <c:y val="0.0666666666666667"/>
        </c:manualLayout>
      </c:layout>
    </c:title>
    <c:plotArea>
      <c:layout>
        <c:manualLayout>
          <c:layoutTarget val="inner"/>
          <c:xMode val="edge"/>
          <c:yMode val="edge"/>
          <c:x val="0.0980684751838721"/>
          <c:y val="0.152000247396236"/>
          <c:w val="0.732541791903771"/>
          <c:h val="0.674667764758732"/>
        </c:manualLayout>
      </c:layout>
      <c:barChart>
        <c:barDir val="col"/>
        <c:grouping val="clustered"/>
        <c:ser>
          <c:idx val="0"/>
          <c:order val="0"/>
          <c:tx>
            <c:strRef>
              <c:f>WLCG!$S$2</c:f>
              <c:strCache>
                <c:ptCount val="1"/>
                <c:pt idx="0">
                  <c:v>Disk Installed (TB)</c:v>
                </c:pt>
              </c:strCache>
            </c:strRef>
          </c:tx>
          <c:cat>
            <c:strRef>
              <c:f>WLCG!$J$3:$J$10</c:f>
              <c:strCache>
                <c:ptCount val="8"/>
                <c:pt idx="0">
                  <c:v>T1</c:v>
                </c:pt>
                <c:pt idx="1">
                  <c:v>NET2</c:v>
                </c:pt>
                <c:pt idx="2">
                  <c:v>SWT2</c:v>
                </c:pt>
                <c:pt idx="3">
                  <c:v>MWT2</c:v>
                </c:pt>
                <c:pt idx="4">
                  <c:v>AGLT2</c:v>
                </c:pt>
                <c:pt idx="5">
                  <c:v>WT2</c:v>
                </c:pt>
                <c:pt idx="6">
                  <c:v>USATLAS FACILITY</c:v>
                </c:pt>
                <c:pt idx="7">
                  <c:v>USATLAS TIER2</c:v>
                </c:pt>
              </c:strCache>
            </c:strRef>
          </c:cat>
          <c:val>
            <c:numRef>
              <c:f>WLCG!$S$3:$S$10</c:f>
              <c:numCache>
                <c:formatCode>General</c:formatCode>
                <c:ptCount val="8"/>
                <c:pt idx="0">
                  <c:v>2100.0</c:v>
                </c:pt>
                <c:pt idx="1">
                  <c:v>170.0</c:v>
                </c:pt>
                <c:pt idx="2">
                  <c:v>263.0</c:v>
                </c:pt>
                <c:pt idx="3">
                  <c:v>524.0</c:v>
                </c:pt>
                <c:pt idx="4">
                  <c:v>570.0</c:v>
                </c:pt>
                <c:pt idx="5">
                  <c:v>275.0</c:v>
                </c:pt>
                <c:pt idx="6" formatCode="#,##0_);[Red]\(#,##0\)">
                  <c:v>3902.0</c:v>
                </c:pt>
                <c:pt idx="7" formatCode="#,##0_);[Red]\(#,##0\)">
                  <c:v>1802.0</c:v>
                </c:pt>
              </c:numCache>
            </c:numRef>
          </c:val>
        </c:ser>
        <c:ser>
          <c:idx val="1"/>
          <c:order val="1"/>
          <c:tx>
            <c:strRef>
              <c:f>WLCG!$T$2</c:f>
              <c:strCache>
                <c:ptCount val="1"/>
                <c:pt idx="0">
                  <c:v>Disk P07 (TB)</c:v>
                </c:pt>
              </c:strCache>
            </c:strRef>
          </c:tx>
          <c:cat>
            <c:strRef>
              <c:f>WLCG!$J$3:$J$10</c:f>
              <c:strCache>
                <c:ptCount val="8"/>
                <c:pt idx="0">
                  <c:v>T1</c:v>
                </c:pt>
                <c:pt idx="1">
                  <c:v>NET2</c:v>
                </c:pt>
                <c:pt idx="2">
                  <c:v>SWT2</c:v>
                </c:pt>
                <c:pt idx="3">
                  <c:v>MWT2</c:v>
                </c:pt>
                <c:pt idx="4">
                  <c:v>AGLT2</c:v>
                </c:pt>
                <c:pt idx="5">
                  <c:v>WT2</c:v>
                </c:pt>
                <c:pt idx="6">
                  <c:v>USATLAS FACILITY</c:v>
                </c:pt>
                <c:pt idx="7">
                  <c:v>USATLAS TIER2</c:v>
                </c:pt>
              </c:strCache>
            </c:strRef>
          </c:cat>
          <c:val>
            <c:numRef>
              <c:f>WLCG!$T$3:$T$10</c:f>
              <c:numCache>
                <c:formatCode>0</c:formatCode>
                <c:ptCount val="8"/>
                <c:pt idx="0" formatCode="General">
                  <c:v>1100.0</c:v>
                </c:pt>
                <c:pt idx="1">
                  <c:v>103.0</c:v>
                </c:pt>
                <c:pt idx="2">
                  <c:v>143.0</c:v>
                </c:pt>
                <c:pt idx="3">
                  <c:v>213.0</c:v>
                </c:pt>
                <c:pt idx="4">
                  <c:v>155.0</c:v>
                </c:pt>
                <c:pt idx="5">
                  <c:v>51.0</c:v>
                </c:pt>
                <c:pt idx="6" formatCode="#,##0_);[Red]\(#,##0\)">
                  <c:v>1765.0</c:v>
                </c:pt>
                <c:pt idx="7" formatCode="#,##0_);[Red]\(#,##0\)">
                  <c:v>665.0</c:v>
                </c:pt>
              </c:numCache>
            </c:numRef>
          </c:val>
        </c:ser>
        <c:ser>
          <c:idx val="2"/>
          <c:order val="2"/>
          <c:tx>
            <c:strRef>
              <c:f>WLCG!$U$2</c:f>
              <c:strCache>
                <c:ptCount val="1"/>
                <c:pt idx="0">
                  <c:v>Disk P08 (TB)</c:v>
                </c:pt>
              </c:strCache>
            </c:strRef>
          </c:tx>
          <c:cat>
            <c:strRef>
              <c:f>WLCG!$J$3:$J$10</c:f>
              <c:strCache>
                <c:ptCount val="8"/>
                <c:pt idx="0">
                  <c:v>T1</c:v>
                </c:pt>
                <c:pt idx="1">
                  <c:v>NET2</c:v>
                </c:pt>
                <c:pt idx="2">
                  <c:v>SWT2</c:v>
                </c:pt>
                <c:pt idx="3">
                  <c:v>MWT2</c:v>
                </c:pt>
                <c:pt idx="4">
                  <c:v>AGLT2</c:v>
                </c:pt>
                <c:pt idx="5">
                  <c:v>WT2</c:v>
                </c:pt>
                <c:pt idx="6">
                  <c:v>USATLAS FACILITY</c:v>
                </c:pt>
                <c:pt idx="7">
                  <c:v>USATLAS TIER2</c:v>
                </c:pt>
              </c:strCache>
            </c:strRef>
          </c:cat>
          <c:val>
            <c:numRef>
              <c:f>WLCG!$U$3:$U$10</c:f>
              <c:numCache>
                <c:formatCode>0</c:formatCode>
                <c:ptCount val="8"/>
                <c:pt idx="0" formatCode="General">
                  <c:v>3136.0</c:v>
                </c:pt>
                <c:pt idx="1">
                  <c:v>244.0</c:v>
                </c:pt>
                <c:pt idx="2">
                  <c:v>256.0</c:v>
                </c:pt>
                <c:pt idx="3">
                  <c:v>282.0</c:v>
                </c:pt>
                <c:pt idx="4">
                  <c:v>322.0</c:v>
                </c:pt>
                <c:pt idx="5">
                  <c:v>275.0</c:v>
                </c:pt>
                <c:pt idx="6" formatCode="#,##0_);[Red]\(#,##0\)">
                  <c:v>4515.0</c:v>
                </c:pt>
                <c:pt idx="7" formatCode="#,##0_);[Red]\(#,##0\)">
                  <c:v>1379.0</c:v>
                </c:pt>
              </c:numCache>
            </c:numRef>
          </c:val>
        </c:ser>
        <c:ser>
          <c:idx val="3"/>
          <c:order val="3"/>
          <c:tx>
            <c:strRef>
              <c:f>WLCG!$V$2</c:f>
              <c:strCache>
                <c:ptCount val="1"/>
                <c:pt idx="0">
                  <c:v>Disk P09 (TB)</c:v>
                </c:pt>
              </c:strCache>
            </c:strRef>
          </c:tx>
          <c:cat>
            <c:strRef>
              <c:f>WLCG!$J$3:$J$10</c:f>
              <c:strCache>
                <c:ptCount val="8"/>
                <c:pt idx="0">
                  <c:v>T1</c:v>
                </c:pt>
                <c:pt idx="1">
                  <c:v>NET2</c:v>
                </c:pt>
                <c:pt idx="2">
                  <c:v>SWT2</c:v>
                </c:pt>
                <c:pt idx="3">
                  <c:v>MWT2</c:v>
                </c:pt>
                <c:pt idx="4">
                  <c:v>AGLT2</c:v>
                </c:pt>
                <c:pt idx="5">
                  <c:v>WT2</c:v>
                </c:pt>
                <c:pt idx="6">
                  <c:v>USATLAS FACILITY</c:v>
                </c:pt>
                <c:pt idx="7">
                  <c:v>USATLAS TIER2</c:v>
                </c:pt>
              </c:strCache>
            </c:strRef>
          </c:cat>
          <c:val>
            <c:numRef>
              <c:f>WLCG!$V$3:$V$10</c:f>
              <c:numCache>
                <c:formatCode>0</c:formatCode>
                <c:ptCount val="8"/>
                <c:pt idx="0" formatCode="General">
                  <c:v>5822.0</c:v>
                </c:pt>
                <c:pt idx="1">
                  <c:v>445.0</c:v>
                </c:pt>
                <c:pt idx="2">
                  <c:v>328.0</c:v>
                </c:pt>
                <c:pt idx="3">
                  <c:v>358.0</c:v>
                </c:pt>
                <c:pt idx="4">
                  <c:v>542.0</c:v>
                </c:pt>
                <c:pt idx="5">
                  <c:v>412.5</c:v>
                </c:pt>
                <c:pt idx="6" formatCode="#,##0_);[Red]\(#,##0\)">
                  <c:v>7907.5</c:v>
                </c:pt>
                <c:pt idx="7" formatCode="#,##0_);[Red]\(#,##0\)">
                  <c:v>2085.5</c:v>
                </c:pt>
              </c:numCache>
            </c:numRef>
          </c:val>
        </c:ser>
        <c:ser>
          <c:idx val="4"/>
          <c:order val="4"/>
          <c:tx>
            <c:strRef>
              <c:f>WLCG!$W$2</c:f>
              <c:strCache>
                <c:ptCount val="1"/>
                <c:pt idx="0">
                  <c:v>Disk P10 (TB)</c:v>
                </c:pt>
              </c:strCache>
            </c:strRef>
          </c:tx>
          <c:cat>
            <c:strRef>
              <c:f>WLCG!$J$3:$J$10</c:f>
              <c:strCache>
                <c:ptCount val="8"/>
                <c:pt idx="0">
                  <c:v>T1</c:v>
                </c:pt>
                <c:pt idx="1">
                  <c:v>NET2</c:v>
                </c:pt>
                <c:pt idx="2">
                  <c:v>SWT2</c:v>
                </c:pt>
                <c:pt idx="3">
                  <c:v>MWT2</c:v>
                </c:pt>
                <c:pt idx="4">
                  <c:v>AGLT2</c:v>
                </c:pt>
                <c:pt idx="5">
                  <c:v>WT2</c:v>
                </c:pt>
                <c:pt idx="6">
                  <c:v>USATLAS FACILITY</c:v>
                </c:pt>
                <c:pt idx="7">
                  <c:v>USATLAS TIER2</c:v>
                </c:pt>
              </c:strCache>
            </c:strRef>
          </c:cat>
          <c:val>
            <c:numRef>
              <c:f>WLCG!$W$3:$W$10</c:f>
              <c:numCache>
                <c:formatCode>0</c:formatCode>
                <c:ptCount val="8"/>
                <c:pt idx="0" formatCode="General">
                  <c:v>11637.0</c:v>
                </c:pt>
                <c:pt idx="1">
                  <c:v>727.0</c:v>
                </c:pt>
                <c:pt idx="2">
                  <c:v>650.0</c:v>
                </c:pt>
                <c:pt idx="3">
                  <c:v>362.0</c:v>
                </c:pt>
                <c:pt idx="4">
                  <c:v>709.0</c:v>
                </c:pt>
                <c:pt idx="5">
                  <c:v>618.75</c:v>
                </c:pt>
                <c:pt idx="6" formatCode="#,##0_);[Red]\(#,##0\)">
                  <c:v>14703.75</c:v>
                </c:pt>
                <c:pt idx="7" formatCode="#,##0_);[Red]\(#,##0\)">
                  <c:v>3066.75</c:v>
                </c:pt>
              </c:numCache>
            </c:numRef>
          </c:val>
        </c:ser>
        <c:ser>
          <c:idx val="5"/>
          <c:order val="5"/>
          <c:tx>
            <c:strRef>
              <c:f>WLCG!$X$2</c:f>
              <c:strCache>
                <c:ptCount val="1"/>
                <c:pt idx="0">
                  <c:v>Disk P11 (TB)</c:v>
                </c:pt>
              </c:strCache>
            </c:strRef>
          </c:tx>
          <c:cat>
            <c:strRef>
              <c:f>WLCG!$J$3:$J$10</c:f>
              <c:strCache>
                <c:ptCount val="8"/>
                <c:pt idx="0">
                  <c:v>T1</c:v>
                </c:pt>
                <c:pt idx="1">
                  <c:v>NET2</c:v>
                </c:pt>
                <c:pt idx="2">
                  <c:v>SWT2</c:v>
                </c:pt>
                <c:pt idx="3">
                  <c:v>MWT2</c:v>
                </c:pt>
                <c:pt idx="4">
                  <c:v>AGLT2</c:v>
                </c:pt>
                <c:pt idx="5">
                  <c:v>WT2</c:v>
                </c:pt>
                <c:pt idx="6">
                  <c:v>USATLAS FACILITY</c:v>
                </c:pt>
                <c:pt idx="7">
                  <c:v>USATLAS TIER2</c:v>
                </c:pt>
              </c:strCache>
            </c:strRef>
          </c:cat>
          <c:val>
            <c:numRef>
              <c:f>WLCG!$X$3:$X$10</c:f>
              <c:numCache>
                <c:formatCode>0</c:formatCode>
                <c:ptCount val="8"/>
                <c:pt idx="0" formatCode="General">
                  <c:v>16509.0</c:v>
                </c:pt>
                <c:pt idx="1">
                  <c:v>1024.0</c:v>
                </c:pt>
                <c:pt idx="2">
                  <c:v>1103.0</c:v>
                </c:pt>
                <c:pt idx="3">
                  <c:v>512.0</c:v>
                </c:pt>
                <c:pt idx="4">
                  <c:v>914.0</c:v>
                </c:pt>
                <c:pt idx="5">
                  <c:v>928.125</c:v>
                </c:pt>
                <c:pt idx="6" formatCode="#,##0_);[Red]\(#,##0\)">
                  <c:v>20990.125</c:v>
                </c:pt>
                <c:pt idx="7" formatCode="#,##0_);[Red]\(#,##0\)">
                  <c:v>4481.125</c:v>
                </c:pt>
              </c:numCache>
            </c:numRef>
          </c:val>
        </c:ser>
        <c:ser>
          <c:idx val="6"/>
          <c:order val="6"/>
          <c:tx>
            <c:strRef>
              <c:f>WLCG!$Y$2</c:f>
              <c:strCache>
                <c:ptCount val="1"/>
                <c:pt idx="0">
                  <c:v>Disk P12 (TB)</c:v>
                </c:pt>
              </c:strCache>
            </c:strRef>
          </c:tx>
          <c:cat>
            <c:strRef>
              <c:f>WLCG!$J$3:$J$10</c:f>
              <c:strCache>
                <c:ptCount val="8"/>
                <c:pt idx="0">
                  <c:v>T1</c:v>
                </c:pt>
                <c:pt idx="1">
                  <c:v>NET2</c:v>
                </c:pt>
                <c:pt idx="2">
                  <c:v>SWT2</c:v>
                </c:pt>
                <c:pt idx="3">
                  <c:v>MWT2</c:v>
                </c:pt>
                <c:pt idx="4">
                  <c:v>AGLT2</c:v>
                </c:pt>
                <c:pt idx="5">
                  <c:v>WT2</c:v>
                </c:pt>
                <c:pt idx="6">
                  <c:v>USATLAS FACILITY</c:v>
                </c:pt>
                <c:pt idx="7">
                  <c:v>USATLAS TIER2</c:v>
                </c:pt>
              </c:strCache>
            </c:strRef>
          </c:cat>
          <c:val>
            <c:numRef>
              <c:f>WLCG!$Y$3:$Y$10</c:f>
              <c:numCache>
                <c:formatCode>0</c:formatCode>
                <c:ptCount val="8"/>
                <c:pt idx="0" formatCode="General">
                  <c:v>16964.8</c:v>
                </c:pt>
                <c:pt idx="1">
                  <c:v>1851.0</c:v>
                </c:pt>
                <c:pt idx="2">
                  <c:v>1851.0</c:v>
                </c:pt>
                <c:pt idx="3">
                  <c:v>1851.0</c:v>
                </c:pt>
                <c:pt idx="4">
                  <c:v>1851.0</c:v>
                </c:pt>
                <c:pt idx="5">
                  <c:v>1851.0</c:v>
                </c:pt>
                <c:pt idx="6" formatCode="#,##0_);[Red]\(#,##0\)">
                  <c:v>26219.8</c:v>
                </c:pt>
                <c:pt idx="7" formatCode="#,##0_);[Red]\(#,##0\)">
                  <c:v>9255.0</c:v>
                </c:pt>
              </c:numCache>
            </c:numRef>
          </c:val>
        </c:ser>
        <c:ser>
          <c:idx val="7"/>
          <c:order val="7"/>
          <c:tx>
            <c:strRef>
              <c:f>WLCG!$Z$2</c:f>
              <c:strCache>
                <c:ptCount val="1"/>
                <c:pt idx="0">
                  <c:v>Disk P13 (TB)</c:v>
                </c:pt>
              </c:strCache>
            </c:strRef>
          </c:tx>
          <c:cat>
            <c:strRef>
              <c:f>WLCG!$J$3:$J$10</c:f>
              <c:strCache>
                <c:ptCount val="8"/>
                <c:pt idx="0">
                  <c:v>T1</c:v>
                </c:pt>
                <c:pt idx="1">
                  <c:v>NET2</c:v>
                </c:pt>
                <c:pt idx="2">
                  <c:v>SWT2</c:v>
                </c:pt>
                <c:pt idx="3">
                  <c:v>MWT2</c:v>
                </c:pt>
                <c:pt idx="4">
                  <c:v>AGLT2</c:v>
                </c:pt>
                <c:pt idx="5">
                  <c:v>WT2</c:v>
                </c:pt>
                <c:pt idx="6">
                  <c:v>USATLAS FACILITY</c:v>
                </c:pt>
                <c:pt idx="7">
                  <c:v>USATLAS TIER2</c:v>
                </c:pt>
              </c:strCache>
            </c:strRef>
          </c:cat>
          <c:val>
            <c:numRef>
              <c:f>WLCG!$Z$3:$Z$10</c:f>
              <c:numCache>
                <c:formatCode>0</c:formatCode>
                <c:ptCount val="8"/>
                <c:pt idx="0" formatCode="General">
                  <c:v>27600.0</c:v>
                </c:pt>
                <c:pt idx="1">
                  <c:v>2577.6</c:v>
                </c:pt>
                <c:pt idx="2">
                  <c:v>2577.6</c:v>
                </c:pt>
                <c:pt idx="3">
                  <c:v>2577.6</c:v>
                </c:pt>
                <c:pt idx="4">
                  <c:v>2577.6</c:v>
                </c:pt>
                <c:pt idx="5">
                  <c:v>2577.6</c:v>
                </c:pt>
                <c:pt idx="6" formatCode="#,##0_);[Red]\(#,##0\)">
                  <c:v>40488</c:v>
                </c:pt>
                <c:pt idx="7" formatCode="#,##0_);[Red]\(#,##0\)">
                  <c:v>12888.0</c:v>
                </c:pt>
              </c:numCache>
            </c:numRef>
          </c:val>
        </c:ser>
        <c:axId val="544799048"/>
        <c:axId val="544806312"/>
      </c:barChart>
      <c:catAx>
        <c:axId val="54479904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Site</a:t>
                </a:r>
              </a:p>
            </c:rich>
          </c:tx>
          <c:layout>
            <c:manualLayout>
              <c:xMode val="edge"/>
              <c:yMode val="edge"/>
              <c:x val="0.444279862506726"/>
              <c:y val="0.92266813648294"/>
            </c:manualLayout>
          </c:layout>
        </c:title>
        <c:numFmt formatCode="General" sourceLinked="1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544806312"/>
        <c:crosses val="autoZero"/>
        <c:auto val="1"/>
        <c:lblAlgn val="ctr"/>
        <c:lblOffset val="100"/>
        <c:tickLblSkip val="1"/>
        <c:tickMarkSkip val="1"/>
      </c:catAx>
      <c:valAx>
        <c:axId val="54480631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Usable disk (TB)</a:t>
                </a:r>
              </a:p>
            </c:rich>
          </c:tx>
          <c:layout>
            <c:manualLayout>
              <c:xMode val="edge"/>
              <c:yMode val="edge"/>
              <c:x val="0.0193164871127511"/>
              <c:y val="0.357333963254593"/>
            </c:manualLayout>
          </c:layout>
        </c:title>
        <c:numFmt formatCode="General" sourceLinked="1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54479904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42398335145345"/>
          <c:y val="0.298522866866706"/>
          <c:w val="0.15708763529919"/>
          <c:h val="0.516200938437683"/>
        </c:manualLayout>
      </c:layout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Installed Disk vs WLCG Pledge</a:t>
            </a:r>
          </a:p>
        </c:rich>
      </c:tx>
      <c:layout/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WLCG!$K$84</c:f>
              <c:strCache>
                <c:ptCount val="1"/>
                <c:pt idx="0">
                  <c:v>Disk Installed (TB)</c:v>
                </c:pt>
              </c:strCache>
            </c:strRef>
          </c:tx>
          <c:cat>
            <c:strRef>
              <c:f>WLCG!$J$85:$J$89</c:f>
              <c:strCache>
                <c:ptCount val="5"/>
                <c:pt idx="0">
                  <c:v>NET2</c:v>
                </c:pt>
                <c:pt idx="1">
                  <c:v>SWT2</c:v>
                </c:pt>
                <c:pt idx="2">
                  <c:v>MWT2</c:v>
                </c:pt>
                <c:pt idx="3">
                  <c:v>AGLT2</c:v>
                </c:pt>
                <c:pt idx="4">
                  <c:v>WT2</c:v>
                </c:pt>
              </c:strCache>
            </c:strRef>
          </c:cat>
          <c:val>
            <c:numRef>
              <c:f>WLCG!$K$85:$K$89</c:f>
              <c:numCache>
                <c:formatCode>General</c:formatCode>
                <c:ptCount val="5"/>
                <c:pt idx="0">
                  <c:v>170.0</c:v>
                </c:pt>
                <c:pt idx="1">
                  <c:v>263.0</c:v>
                </c:pt>
                <c:pt idx="2">
                  <c:v>524.0</c:v>
                </c:pt>
                <c:pt idx="3">
                  <c:v>570.0</c:v>
                </c:pt>
                <c:pt idx="4">
                  <c:v>275.0</c:v>
                </c:pt>
              </c:numCache>
            </c:numRef>
          </c:val>
        </c:ser>
        <c:ser>
          <c:idx val="1"/>
          <c:order val="1"/>
          <c:tx>
            <c:strRef>
              <c:f>WLCG!$L$84</c:f>
              <c:strCache>
                <c:ptCount val="1"/>
                <c:pt idx="0">
                  <c:v>Disk P2007 (TB)</c:v>
                </c:pt>
              </c:strCache>
            </c:strRef>
          </c:tx>
          <c:cat>
            <c:strRef>
              <c:f>WLCG!$J$85:$J$89</c:f>
              <c:strCache>
                <c:ptCount val="5"/>
                <c:pt idx="0">
                  <c:v>NET2</c:v>
                </c:pt>
                <c:pt idx="1">
                  <c:v>SWT2</c:v>
                </c:pt>
                <c:pt idx="2">
                  <c:v>MWT2</c:v>
                </c:pt>
                <c:pt idx="3">
                  <c:v>AGLT2</c:v>
                </c:pt>
                <c:pt idx="4">
                  <c:v>WT2</c:v>
                </c:pt>
              </c:strCache>
            </c:strRef>
          </c:cat>
          <c:val>
            <c:numRef>
              <c:f>WLCG!$L$85:$L$89</c:f>
              <c:numCache>
                <c:formatCode>0</c:formatCode>
                <c:ptCount val="5"/>
                <c:pt idx="0">
                  <c:v>103.0</c:v>
                </c:pt>
                <c:pt idx="1">
                  <c:v>143.0</c:v>
                </c:pt>
                <c:pt idx="2">
                  <c:v>213.0</c:v>
                </c:pt>
                <c:pt idx="3">
                  <c:v>155.0</c:v>
                </c:pt>
                <c:pt idx="4">
                  <c:v>51.0</c:v>
                </c:pt>
              </c:numCache>
            </c:numRef>
          </c:val>
        </c:ser>
        <c:ser>
          <c:idx val="2"/>
          <c:order val="2"/>
          <c:tx>
            <c:strRef>
              <c:f>WLCG!$M$84</c:f>
              <c:strCache>
                <c:ptCount val="1"/>
                <c:pt idx="0">
                  <c:v>Disk P2008 (TB)</c:v>
                </c:pt>
              </c:strCache>
            </c:strRef>
          </c:tx>
          <c:cat>
            <c:strRef>
              <c:f>WLCG!$J$85:$J$89</c:f>
              <c:strCache>
                <c:ptCount val="5"/>
                <c:pt idx="0">
                  <c:v>NET2</c:v>
                </c:pt>
                <c:pt idx="1">
                  <c:v>SWT2</c:v>
                </c:pt>
                <c:pt idx="2">
                  <c:v>MWT2</c:v>
                </c:pt>
                <c:pt idx="3">
                  <c:v>AGLT2</c:v>
                </c:pt>
                <c:pt idx="4">
                  <c:v>WT2</c:v>
                </c:pt>
              </c:strCache>
            </c:strRef>
          </c:cat>
          <c:val>
            <c:numRef>
              <c:f>WLCG!$M$85:$M$89</c:f>
              <c:numCache>
                <c:formatCode>0</c:formatCode>
                <c:ptCount val="5"/>
                <c:pt idx="0">
                  <c:v>244.0</c:v>
                </c:pt>
                <c:pt idx="1">
                  <c:v>256.0</c:v>
                </c:pt>
                <c:pt idx="2">
                  <c:v>282.0</c:v>
                </c:pt>
                <c:pt idx="3">
                  <c:v>322.0</c:v>
                </c:pt>
                <c:pt idx="4">
                  <c:v>275.0</c:v>
                </c:pt>
              </c:numCache>
            </c:numRef>
          </c:val>
        </c:ser>
        <c:ser>
          <c:idx val="3"/>
          <c:order val="3"/>
          <c:tx>
            <c:strRef>
              <c:f>WLCG!$N$84</c:f>
              <c:strCache>
                <c:ptCount val="1"/>
                <c:pt idx="0">
                  <c:v>Disk P2009 (TB)</c:v>
                </c:pt>
              </c:strCache>
            </c:strRef>
          </c:tx>
          <c:cat>
            <c:strRef>
              <c:f>WLCG!$J$85:$J$89</c:f>
              <c:strCache>
                <c:ptCount val="5"/>
                <c:pt idx="0">
                  <c:v>NET2</c:v>
                </c:pt>
                <c:pt idx="1">
                  <c:v>SWT2</c:v>
                </c:pt>
                <c:pt idx="2">
                  <c:v>MWT2</c:v>
                </c:pt>
                <c:pt idx="3">
                  <c:v>AGLT2</c:v>
                </c:pt>
                <c:pt idx="4">
                  <c:v>WT2</c:v>
                </c:pt>
              </c:strCache>
            </c:strRef>
          </c:cat>
          <c:val>
            <c:numRef>
              <c:f>WLCG!$N$85:$N$89</c:f>
              <c:numCache>
                <c:formatCode>0</c:formatCode>
                <c:ptCount val="5"/>
                <c:pt idx="0">
                  <c:v>445.0</c:v>
                </c:pt>
                <c:pt idx="1">
                  <c:v>328.0</c:v>
                </c:pt>
                <c:pt idx="2">
                  <c:v>358.0</c:v>
                </c:pt>
                <c:pt idx="3">
                  <c:v>542.0</c:v>
                </c:pt>
                <c:pt idx="4">
                  <c:v>412.5</c:v>
                </c:pt>
              </c:numCache>
            </c:numRef>
          </c:val>
        </c:ser>
        <c:ser>
          <c:idx val="4"/>
          <c:order val="4"/>
          <c:tx>
            <c:strRef>
              <c:f>WLCG!$O$84</c:f>
              <c:strCache>
                <c:ptCount val="1"/>
                <c:pt idx="0">
                  <c:v>Disk P2010 (TB)</c:v>
                </c:pt>
              </c:strCache>
            </c:strRef>
          </c:tx>
          <c:cat>
            <c:strRef>
              <c:f>WLCG!$J$85:$J$89</c:f>
              <c:strCache>
                <c:ptCount val="5"/>
                <c:pt idx="0">
                  <c:v>NET2</c:v>
                </c:pt>
                <c:pt idx="1">
                  <c:v>SWT2</c:v>
                </c:pt>
                <c:pt idx="2">
                  <c:v>MWT2</c:v>
                </c:pt>
                <c:pt idx="3">
                  <c:v>AGLT2</c:v>
                </c:pt>
                <c:pt idx="4">
                  <c:v>WT2</c:v>
                </c:pt>
              </c:strCache>
            </c:strRef>
          </c:cat>
          <c:val>
            <c:numRef>
              <c:f>WLCG!$O$85:$O$89</c:f>
              <c:numCache>
                <c:formatCode>0</c:formatCode>
                <c:ptCount val="5"/>
                <c:pt idx="0">
                  <c:v>727.0</c:v>
                </c:pt>
                <c:pt idx="1">
                  <c:v>650.0</c:v>
                </c:pt>
                <c:pt idx="2">
                  <c:v>362.0</c:v>
                </c:pt>
                <c:pt idx="3">
                  <c:v>709.0</c:v>
                </c:pt>
                <c:pt idx="4">
                  <c:v>618.75</c:v>
                </c:pt>
              </c:numCache>
            </c:numRef>
          </c:val>
        </c:ser>
        <c:ser>
          <c:idx val="5"/>
          <c:order val="5"/>
          <c:tx>
            <c:strRef>
              <c:f>WLCG!$P$84</c:f>
              <c:strCache>
                <c:ptCount val="1"/>
                <c:pt idx="0">
                  <c:v>Disk P2011 (TB)</c:v>
                </c:pt>
              </c:strCache>
            </c:strRef>
          </c:tx>
          <c:cat>
            <c:strRef>
              <c:f>WLCG!$J$85:$J$89</c:f>
              <c:strCache>
                <c:ptCount val="5"/>
                <c:pt idx="0">
                  <c:v>NET2</c:v>
                </c:pt>
                <c:pt idx="1">
                  <c:v>SWT2</c:v>
                </c:pt>
                <c:pt idx="2">
                  <c:v>MWT2</c:v>
                </c:pt>
                <c:pt idx="3">
                  <c:v>AGLT2</c:v>
                </c:pt>
                <c:pt idx="4">
                  <c:v>WT2</c:v>
                </c:pt>
              </c:strCache>
            </c:strRef>
          </c:cat>
          <c:val>
            <c:numRef>
              <c:f>WLCG!$P$85:$P$89</c:f>
              <c:numCache>
                <c:formatCode>0</c:formatCode>
                <c:ptCount val="5"/>
                <c:pt idx="0">
                  <c:v>1024.0</c:v>
                </c:pt>
                <c:pt idx="1">
                  <c:v>1103.0</c:v>
                </c:pt>
                <c:pt idx="2">
                  <c:v>512.0</c:v>
                </c:pt>
                <c:pt idx="3">
                  <c:v>914.0</c:v>
                </c:pt>
                <c:pt idx="4">
                  <c:v>928.125</c:v>
                </c:pt>
              </c:numCache>
            </c:numRef>
          </c:val>
        </c:ser>
        <c:ser>
          <c:idx val="6"/>
          <c:order val="6"/>
          <c:tx>
            <c:strRef>
              <c:f>WLCG!$Q$84</c:f>
              <c:strCache>
                <c:ptCount val="1"/>
                <c:pt idx="0">
                  <c:v>Disk P2012 (TB)</c:v>
                </c:pt>
              </c:strCache>
            </c:strRef>
          </c:tx>
          <c:cat>
            <c:strRef>
              <c:f>WLCG!$J$85:$J$89</c:f>
              <c:strCache>
                <c:ptCount val="5"/>
                <c:pt idx="0">
                  <c:v>NET2</c:v>
                </c:pt>
                <c:pt idx="1">
                  <c:v>SWT2</c:v>
                </c:pt>
                <c:pt idx="2">
                  <c:v>MWT2</c:v>
                </c:pt>
                <c:pt idx="3">
                  <c:v>AGLT2</c:v>
                </c:pt>
                <c:pt idx="4">
                  <c:v>WT2</c:v>
                </c:pt>
              </c:strCache>
            </c:strRef>
          </c:cat>
          <c:val>
            <c:numRef>
              <c:f>WLCG!$Q$85:$Q$89</c:f>
              <c:numCache>
                <c:formatCode>0</c:formatCode>
                <c:ptCount val="5"/>
                <c:pt idx="0">
                  <c:v>1851.0</c:v>
                </c:pt>
                <c:pt idx="1">
                  <c:v>1851.0</c:v>
                </c:pt>
                <c:pt idx="2">
                  <c:v>1851.0</c:v>
                </c:pt>
                <c:pt idx="3">
                  <c:v>1851.0</c:v>
                </c:pt>
                <c:pt idx="4">
                  <c:v>1851.0</c:v>
                </c:pt>
              </c:numCache>
            </c:numRef>
          </c:val>
        </c:ser>
        <c:ser>
          <c:idx val="7"/>
          <c:order val="7"/>
          <c:tx>
            <c:strRef>
              <c:f>WLCG!$R$84</c:f>
              <c:strCache>
                <c:ptCount val="1"/>
                <c:pt idx="0">
                  <c:v>Disk P2013 (TB)</c:v>
                </c:pt>
              </c:strCache>
            </c:strRef>
          </c:tx>
          <c:cat>
            <c:strRef>
              <c:f>WLCG!$J$85:$J$89</c:f>
              <c:strCache>
                <c:ptCount val="5"/>
                <c:pt idx="0">
                  <c:v>NET2</c:v>
                </c:pt>
                <c:pt idx="1">
                  <c:v>SWT2</c:v>
                </c:pt>
                <c:pt idx="2">
                  <c:v>MWT2</c:v>
                </c:pt>
                <c:pt idx="3">
                  <c:v>AGLT2</c:v>
                </c:pt>
                <c:pt idx="4">
                  <c:v>WT2</c:v>
                </c:pt>
              </c:strCache>
            </c:strRef>
          </c:cat>
          <c:val>
            <c:numRef>
              <c:f>WLCG!$R$85:$R$89</c:f>
              <c:numCache>
                <c:formatCode>0</c:formatCode>
                <c:ptCount val="5"/>
                <c:pt idx="0">
                  <c:v>2577.6</c:v>
                </c:pt>
                <c:pt idx="1">
                  <c:v>2577.6</c:v>
                </c:pt>
                <c:pt idx="2">
                  <c:v>2577.6</c:v>
                </c:pt>
                <c:pt idx="3">
                  <c:v>2577.6</c:v>
                </c:pt>
                <c:pt idx="4">
                  <c:v>2577.6</c:v>
                </c:pt>
              </c:numCache>
            </c:numRef>
          </c:val>
        </c:ser>
        <c:shape val="cylinder"/>
        <c:axId val="544861032"/>
        <c:axId val="544866888"/>
        <c:axId val="0"/>
      </c:bar3DChart>
      <c:catAx>
        <c:axId val="54486103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Tier 2 Facility</a:t>
                </a:r>
              </a:p>
            </c:rich>
          </c:tx>
          <c:layout/>
        </c:title>
        <c:tickLblPos val="nextTo"/>
        <c:crossAx val="544866888"/>
        <c:crosses val="autoZero"/>
        <c:auto val="1"/>
        <c:lblAlgn val="ctr"/>
        <c:lblOffset val="100"/>
      </c:catAx>
      <c:valAx>
        <c:axId val="54486688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Useable (TB)</a:t>
                </a:r>
              </a:p>
            </c:rich>
          </c:tx>
          <c:layout/>
        </c:title>
        <c:numFmt formatCode="General" sourceLinked="1"/>
        <c:tickLblPos val="nextTo"/>
        <c:crossAx val="544861032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1200"/>
          </a:pPr>
          <a:endParaRPr lang="en-US"/>
        </a:p>
      </c:txPr>
    </c:legend>
    <c:plotVisOnly val="1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8"/>
  <c:chart>
    <c:view3D>
      <c:rAngAx val="1"/>
    </c:view3D>
    <c:plotArea>
      <c:layout/>
      <c:bar3DChart>
        <c:barDir val="col"/>
        <c:grouping val="stacked"/>
        <c:ser>
          <c:idx val="0"/>
          <c:order val="0"/>
          <c:tx>
            <c:strRef>
              <c:f>WLCG!$A$77</c:f>
              <c:strCache>
                <c:ptCount val="1"/>
                <c:pt idx="0">
                  <c:v>NET2</c:v>
                </c:pt>
              </c:strCache>
            </c:strRef>
          </c:tx>
          <c:val>
            <c:numRef>
              <c:f>WLCG!$B$77:$H$77</c:f>
              <c:numCache>
                <c:formatCode>0</c:formatCode>
                <c:ptCount val="7"/>
                <c:pt idx="0">
                  <c:v>103.0</c:v>
                </c:pt>
                <c:pt idx="1">
                  <c:v>244.0</c:v>
                </c:pt>
                <c:pt idx="2">
                  <c:v>445.0</c:v>
                </c:pt>
                <c:pt idx="3">
                  <c:v>727.0</c:v>
                </c:pt>
                <c:pt idx="4">
                  <c:v>1024.0</c:v>
                </c:pt>
                <c:pt idx="5">
                  <c:v>1851.0</c:v>
                </c:pt>
                <c:pt idx="6">
                  <c:v>2577.6</c:v>
                </c:pt>
              </c:numCache>
            </c:numRef>
          </c:val>
        </c:ser>
        <c:ser>
          <c:idx val="1"/>
          <c:order val="1"/>
          <c:tx>
            <c:strRef>
              <c:f>WLCG!$A$78</c:f>
              <c:strCache>
                <c:ptCount val="1"/>
                <c:pt idx="0">
                  <c:v>SWT2</c:v>
                </c:pt>
              </c:strCache>
            </c:strRef>
          </c:tx>
          <c:val>
            <c:numRef>
              <c:f>WLCG!$B$78:$H$78</c:f>
              <c:numCache>
                <c:formatCode>0</c:formatCode>
                <c:ptCount val="7"/>
                <c:pt idx="0">
                  <c:v>143.0</c:v>
                </c:pt>
                <c:pt idx="1">
                  <c:v>256.0</c:v>
                </c:pt>
                <c:pt idx="2">
                  <c:v>328.0</c:v>
                </c:pt>
                <c:pt idx="3">
                  <c:v>650.0</c:v>
                </c:pt>
                <c:pt idx="4">
                  <c:v>1103.0</c:v>
                </c:pt>
                <c:pt idx="5">
                  <c:v>1851.0</c:v>
                </c:pt>
                <c:pt idx="6">
                  <c:v>2577.6</c:v>
                </c:pt>
              </c:numCache>
            </c:numRef>
          </c:val>
        </c:ser>
        <c:ser>
          <c:idx val="2"/>
          <c:order val="2"/>
          <c:tx>
            <c:strRef>
              <c:f>WLCG!$A$79</c:f>
              <c:strCache>
                <c:ptCount val="1"/>
                <c:pt idx="0">
                  <c:v>MWT2</c:v>
                </c:pt>
              </c:strCache>
            </c:strRef>
          </c:tx>
          <c:val>
            <c:numRef>
              <c:f>WLCG!$B$79:$H$79</c:f>
              <c:numCache>
                <c:formatCode>0</c:formatCode>
                <c:ptCount val="7"/>
                <c:pt idx="0">
                  <c:v>213.0</c:v>
                </c:pt>
                <c:pt idx="1">
                  <c:v>282.0</c:v>
                </c:pt>
                <c:pt idx="2">
                  <c:v>358.0</c:v>
                </c:pt>
                <c:pt idx="3">
                  <c:v>362.0</c:v>
                </c:pt>
                <c:pt idx="4">
                  <c:v>512.0</c:v>
                </c:pt>
                <c:pt idx="5">
                  <c:v>1851.0</c:v>
                </c:pt>
                <c:pt idx="6">
                  <c:v>2577.6</c:v>
                </c:pt>
              </c:numCache>
            </c:numRef>
          </c:val>
        </c:ser>
        <c:ser>
          <c:idx val="3"/>
          <c:order val="3"/>
          <c:tx>
            <c:strRef>
              <c:f>WLCG!$A$80</c:f>
              <c:strCache>
                <c:ptCount val="1"/>
                <c:pt idx="0">
                  <c:v>AGLT2</c:v>
                </c:pt>
              </c:strCache>
            </c:strRef>
          </c:tx>
          <c:val>
            <c:numRef>
              <c:f>WLCG!$B$80:$H$80</c:f>
              <c:numCache>
                <c:formatCode>0</c:formatCode>
                <c:ptCount val="7"/>
                <c:pt idx="0">
                  <c:v>155.0</c:v>
                </c:pt>
                <c:pt idx="1">
                  <c:v>322.0</c:v>
                </c:pt>
                <c:pt idx="2">
                  <c:v>542.0</c:v>
                </c:pt>
                <c:pt idx="3">
                  <c:v>709.0</c:v>
                </c:pt>
                <c:pt idx="4">
                  <c:v>914.0</c:v>
                </c:pt>
                <c:pt idx="5">
                  <c:v>1851.0</c:v>
                </c:pt>
                <c:pt idx="6">
                  <c:v>2577.6</c:v>
                </c:pt>
              </c:numCache>
            </c:numRef>
          </c:val>
        </c:ser>
        <c:ser>
          <c:idx val="4"/>
          <c:order val="4"/>
          <c:tx>
            <c:strRef>
              <c:f>WLCG!$A$81</c:f>
              <c:strCache>
                <c:ptCount val="1"/>
                <c:pt idx="0">
                  <c:v>WT2</c:v>
                </c:pt>
              </c:strCache>
            </c:strRef>
          </c:tx>
          <c:val>
            <c:numRef>
              <c:f>WLCG!$B$81:$H$81</c:f>
              <c:numCache>
                <c:formatCode>0</c:formatCode>
                <c:ptCount val="7"/>
                <c:pt idx="0">
                  <c:v>51.0</c:v>
                </c:pt>
                <c:pt idx="1">
                  <c:v>275.0</c:v>
                </c:pt>
                <c:pt idx="2">
                  <c:v>412.5</c:v>
                </c:pt>
                <c:pt idx="3">
                  <c:v>618.75</c:v>
                </c:pt>
                <c:pt idx="4">
                  <c:v>928.125</c:v>
                </c:pt>
                <c:pt idx="5">
                  <c:v>1851.0</c:v>
                </c:pt>
                <c:pt idx="6">
                  <c:v>2577.6</c:v>
                </c:pt>
              </c:numCache>
            </c:numRef>
          </c:val>
        </c:ser>
        <c:shape val="box"/>
        <c:axId val="544887192"/>
        <c:axId val="544890456"/>
        <c:axId val="0"/>
      </c:bar3DChart>
      <c:catAx>
        <c:axId val="544887192"/>
        <c:scaling>
          <c:orientation val="minMax"/>
        </c:scaling>
        <c:axPos val="b"/>
        <c:tickLblPos val="nextTo"/>
        <c:crossAx val="544890456"/>
        <c:crosses val="autoZero"/>
        <c:auto val="1"/>
        <c:lblAlgn val="ctr"/>
        <c:lblOffset val="100"/>
      </c:catAx>
      <c:valAx>
        <c:axId val="544890456"/>
        <c:scaling>
          <c:orientation val="minMax"/>
        </c:scaling>
        <c:axPos val="l"/>
        <c:majorGridlines/>
        <c:numFmt formatCode="0" sourceLinked="1"/>
        <c:tickLblPos val="nextTo"/>
        <c:crossAx val="54488719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8"/>
  <c:chart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WLCG!$A$75</c:f>
              <c:strCache>
                <c:ptCount val="1"/>
                <c:pt idx="0">
                  <c:v>T1</c:v>
                </c:pt>
              </c:strCache>
            </c:strRef>
          </c:tx>
          <c:cat>
            <c:numRef>
              <c:f>WLCG!$B$74:$H$74</c:f>
              <c:numCache>
                <c:formatCode>General</c:formatCode>
                <c:ptCount val="7"/>
                <c:pt idx="0">
                  <c:v>2007.0</c:v>
                </c:pt>
                <c:pt idx="1">
                  <c:v>2008.0</c:v>
                </c:pt>
                <c:pt idx="2">
                  <c:v>2009.0</c:v>
                </c:pt>
                <c:pt idx="3">
                  <c:v>2010.0</c:v>
                </c:pt>
                <c:pt idx="4">
                  <c:v>2011.0</c:v>
                </c:pt>
                <c:pt idx="5">
                  <c:v>2012.0</c:v>
                </c:pt>
                <c:pt idx="6">
                  <c:v>2013.0</c:v>
                </c:pt>
              </c:numCache>
            </c:numRef>
          </c:cat>
          <c:val>
            <c:numRef>
              <c:f>WLCG!$B$75:$H$75</c:f>
              <c:numCache>
                <c:formatCode>General</c:formatCode>
                <c:ptCount val="7"/>
                <c:pt idx="0">
                  <c:v>1100.0</c:v>
                </c:pt>
                <c:pt idx="1">
                  <c:v>3136.0</c:v>
                </c:pt>
                <c:pt idx="2">
                  <c:v>5822.0</c:v>
                </c:pt>
                <c:pt idx="3">
                  <c:v>11637.0</c:v>
                </c:pt>
                <c:pt idx="4">
                  <c:v>16509.0</c:v>
                </c:pt>
                <c:pt idx="5">
                  <c:v>16964.8</c:v>
                </c:pt>
                <c:pt idx="6">
                  <c:v>27600.0</c:v>
                </c:pt>
              </c:numCache>
            </c:numRef>
          </c:val>
        </c:ser>
        <c:ser>
          <c:idx val="1"/>
          <c:order val="1"/>
          <c:tx>
            <c:strRef>
              <c:f>WLCG!$A$76</c:f>
              <c:strCache>
                <c:ptCount val="1"/>
                <c:pt idx="0">
                  <c:v>T2 sum</c:v>
                </c:pt>
              </c:strCache>
            </c:strRef>
          </c:tx>
          <c:cat>
            <c:numRef>
              <c:f>WLCG!$B$74:$H$74</c:f>
              <c:numCache>
                <c:formatCode>General</c:formatCode>
                <c:ptCount val="7"/>
                <c:pt idx="0">
                  <c:v>2007.0</c:v>
                </c:pt>
                <c:pt idx="1">
                  <c:v>2008.0</c:v>
                </c:pt>
                <c:pt idx="2">
                  <c:v>2009.0</c:v>
                </c:pt>
                <c:pt idx="3">
                  <c:v>2010.0</c:v>
                </c:pt>
                <c:pt idx="4">
                  <c:v>2011.0</c:v>
                </c:pt>
                <c:pt idx="5">
                  <c:v>2012.0</c:v>
                </c:pt>
                <c:pt idx="6">
                  <c:v>2013.0</c:v>
                </c:pt>
              </c:numCache>
            </c:numRef>
          </c:cat>
          <c:val>
            <c:numRef>
              <c:f>WLCG!$B$76:$H$76</c:f>
              <c:numCache>
                <c:formatCode>0</c:formatCode>
                <c:ptCount val="7"/>
                <c:pt idx="0">
                  <c:v>665.0</c:v>
                </c:pt>
                <c:pt idx="1">
                  <c:v>1379.0</c:v>
                </c:pt>
                <c:pt idx="2">
                  <c:v>2085.5</c:v>
                </c:pt>
                <c:pt idx="3">
                  <c:v>3066.75</c:v>
                </c:pt>
                <c:pt idx="4">
                  <c:v>4481.125</c:v>
                </c:pt>
                <c:pt idx="5">
                  <c:v>9255.0</c:v>
                </c:pt>
                <c:pt idx="6">
                  <c:v>12888.0</c:v>
                </c:pt>
              </c:numCache>
            </c:numRef>
          </c:val>
        </c:ser>
        <c:shape val="cylinder"/>
        <c:axId val="544917800"/>
        <c:axId val="544920936"/>
        <c:axId val="0"/>
      </c:bar3DChart>
      <c:catAx>
        <c:axId val="544917800"/>
        <c:scaling>
          <c:orientation val="minMax"/>
        </c:scaling>
        <c:axPos val="b"/>
        <c:numFmt formatCode="General" sourceLinked="1"/>
        <c:tickLblPos val="nextTo"/>
        <c:crossAx val="544920936"/>
        <c:crosses val="autoZero"/>
        <c:auto val="1"/>
        <c:lblAlgn val="ctr"/>
        <c:lblOffset val="100"/>
      </c:catAx>
      <c:valAx>
        <c:axId val="544920936"/>
        <c:scaling>
          <c:orientation val="minMax"/>
        </c:scaling>
        <c:axPos val="l"/>
        <c:majorGridlines/>
        <c:numFmt formatCode="General" sourceLinked="1"/>
        <c:tickLblPos val="nextTo"/>
        <c:crossAx val="54491780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8"/>
  <c:chart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WLCG!$A$75</c:f>
              <c:strCache>
                <c:ptCount val="1"/>
                <c:pt idx="0">
                  <c:v>T1</c:v>
                </c:pt>
              </c:strCache>
            </c:strRef>
          </c:tx>
          <c:cat>
            <c:numRef>
              <c:f>WLCG!$B$74:$H$74</c:f>
              <c:numCache>
                <c:formatCode>General</c:formatCode>
                <c:ptCount val="7"/>
                <c:pt idx="0">
                  <c:v>2007.0</c:v>
                </c:pt>
                <c:pt idx="1">
                  <c:v>2008.0</c:v>
                </c:pt>
                <c:pt idx="2">
                  <c:v>2009.0</c:v>
                </c:pt>
                <c:pt idx="3">
                  <c:v>2010.0</c:v>
                </c:pt>
                <c:pt idx="4">
                  <c:v>2011.0</c:v>
                </c:pt>
                <c:pt idx="5">
                  <c:v>2012.0</c:v>
                </c:pt>
                <c:pt idx="6">
                  <c:v>2013.0</c:v>
                </c:pt>
              </c:numCache>
            </c:numRef>
          </c:cat>
          <c:val>
            <c:numRef>
              <c:f>WLCG!$B$75:$H$75</c:f>
              <c:numCache>
                <c:formatCode>General</c:formatCode>
                <c:ptCount val="7"/>
                <c:pt idx="0">
                  <c:v>1100.0</c:v>
                </c:pt>
                <c:pt idx="1">
                  <c:v>3136.0</c:v>
                </c:pt>
                <c:pt idx="2">
                  <c:v>5822.0</c:v>
                </c:pt>
                <c:pt idx="3">
                  <c:v>11637.0</c:v>
                </c:pt>
                <c:pt idx="4">
                  <c:v>16509.0</c:v>
                </c:pt>
                <c:pt idx="5">
                  <c:v>16964.8</c:v>
                </c:pt>
                <c:pt idx="6">
                  <c:v>27600.0</c:v>
                </c:pt>
              </c:numCache>
            </c:numRef>
          </c:val>
        </c:ser>
        <c:ser>
          <c:idx val="1"/>
          <c:order val="1"/>
          <c:tx>
            <c:strRef>
              <c:f>WLCG!$A$76</c:f>
              <c:strCache>
                <c:ptCount val="1"/>
                <c:pt idx="0">
                  <c:v>T2 sum</c:v>
                </c:pt>
              </c:strCache>
            </c:strRef>
          </c:tx>
          <c:cat>
            <c:numRef>
              <c:f>WLCG!$B$74:$H$74</c:f>
              <c:numCache>
                <c:formatCode>General</c:formatCode>
                <c:ptCount val="7"/>
                <c:pt idx="0">
                  <c:v>2007.0</c:v>
                </c:pt>
                <c:pt idx="1">
                  <c:v>2008.0</c:v>
                </c:pt>
                <c:pt idx="2">
                  <c:v>2009.0</c:v>
                </c:pt>
                <c:pt idx="3">
                  <c:v>2010.0</c:v>
                </c:pt>
                <c:pt idx="4">
                  <c:v>2011.0</c:v>
                </c:pt>
                <c:pt idx="5">
                  <c:v>2012.0</c:v>
                </c:pt>
                <c:pt idx="6">
                  <c:v>2013.0</c:v>
                </c:pt>
              </c:numCache>
            </c:numRef>
          </c:cat>
          <c:val>
            <c:numRef>
              <c:f>WLCG!$B$76:$H$76</c:f>
              <c:numCache>
                <c:formatCode>0</c:formatCode>
                <c:ptCount val="7"/>
                <c:pt idx="0">
                  <c:v>665.0</c:v>
                </c:pt>
                <c:pt idx="1">
                  <c:v>1379.0</c:v>
                </c:pt>
                <c:pt idx="2">
                  <c:v>2085.5</c:v>
                </c:pt>
                <c:pt idx="3">
                  <c:v>3066.75</c:v>
                </c:pt>
                <c:pt idx="4">
                  <c:v>4481.125</c:v>
                </c:pt>
                <c:pt idx="5">
                  <c:v>9255.0</c:v>
                </c:pt>
                <c:pt idx="6">
                  <c:v>12888.0</c:v>
                </c:pt>
              </c:numCache>
            </c:numRef>
          </c:val>
        </c:ser>
        <c:ser>
          <c:idx val="2"/>
          <c:order val="2"/>
          <c:tx>
            <c:strRef>
              <c:f>WLCG!$A$77</c:f>
              <c:strCache>
                <c:ptCount val="1"/>
                <c:pt idx="0">
                  <c:v>NET2</c:v>
                </c:pt>
              </c:strCache>
            </c:strRef>
          </c:tx>
          <c:cat>
            <c:numRef>
              <c:f>WLCG!$B$74:$H$74</c:f>
              <c:numCache>
                <c:formatCode>General</c:formatCode>
                <c:ptCount val="7"/>
                <c:pt idx="0">
                  <c:v>2007.0</c:v>
                </c:pt>
                <c:pt idx="1">
                  <c:v>2008.0</c:v>
                </c:pt>
                <c:pt idx="2">
                  <c:v>2009.0</c:v>
                </c:pt>
                <c:pt idx="3">
                  <c:v>2010.0</c:v>
                </c:pt>
                <c:pt idx="4">
                  <c:v>2011.0</c:v>
                </c:pt>
                <c:pt idx="5">
                  <c:v>2012.0</c:v>
                </c:pt>
                <c:pt idx="6">
                  <c:v>2013.0</c:v>
                </c:pt>
              </c:numCache>
            </c:numRef>
          </c:cat>
          <c:val>
            <c:numRef>
              <c:f>WLCG!$B$77:$H$77</c:f>
              <c:numCache>
                <c:formatCode>0</c:formatCode>
                <c:ptCount val="7"/>
                <c:pt idx="0">
                  <c:v>103.0</c:v>
                </c:pt>
                <c:pt idx="1">
                  <c:v>244.0</c:v>
                </c:pt>
                <c:pt idx="2">
                  <c:v>445.0</c:v>
                </c:pt>
                <c:pt idx="3">
                  <c:v>727.0</c:v>
                </c:pt>
                <c:pt idx="4">
                  <c:v>1024.0</c:v>
                </c:pt>
                <c:pt idx="5">
                  <c:v>1851.0</c:v>
                </c:pt>
                <c:pt idx="6">
                  <c:v>2577.6</c:v>
                </c:pt>
              </c:numCache>
            </c:numRef>
          </c:val>
        </c:ser>
        <c:ser>
          <c:idx val="3"/>
          <c:order val="3"/>
          <c:tx>
            <c:strRef>
              <c:f>WLCG!$A$78</c:f>
              <c:strCache>
                <c:ptCount val="1"/>
                <c:pt idx="0">
                  <c:v>SWT2</c:v>
                </c:pt>
              </c:strCache>
            </c:strRef>
          </c:tx>
          <c:cat>
            <c:numRef>
              <c:f>WLCG!$B$74:$H$74</c:f>
              <c:numCache>
                <c:formatCode>General</c:formatCode>
                <c:ptCount val="7"/>
                <c:pt idx="0">
                  <c:v>2007.0</c:v>
                </c:pt>
                <c:pt idx="1">
                  <c:v>2008.0</c:v>
                </c:pt>
                <c:pt idx="2">
                  <c:v>2009.0</c:v>
                </c:pt>
                <c:pt idx="3">
                  <c:v>2010.0</c:v>
                </c:pt>
                <c:pt idx="4">
                  <c:v>2011.0</c:v>
                </c:pt>
                <c:pt idx="5">
                  <c:v>2012.0</c:v>
                </c:pt>
                <c:pt idx="6">
                  <c:v>2013.0</c:v>
                </c:pt>
              </c:numCache>
            </c:numRef>
          </c:cat>
          <c:val>
            <c:numRef>
              <c:f>WLCG!$B$78:$H$78</c:f>
              <c:numCache>
                <c:formatCode>0</c:formatCode>
                <c:ptCount val="7"/>
                <c:pt idx="0">
                  <c:v>143.0</c:v>
                </c:pt>
                <c:pt idx="1">
                  <c:v>256.0</c:v>
                </c:pt>
                <c:pt idx="2">
                  <c:v>328.0</c:v>
                </c:pt>
                <c:pt idx="3">
                  <c:v>650.0</c:v>
                </c:pt>
                <c:pt idx="4">
                  <c:v>1103.0</c:v>
                </c:pt>
                <c:pt idx="5">
                  <c:v>1851.0</c:v>
                </c:pt>
                <c:pt idx="6">
                  <c:v>2577.6</c:v>
                </c:pt>
              </c:numCache>
            </c:numRef>
          </c:val>
        </c:ser>
        <c:ser>
          <c:idx val="4"/>
          <c:order val="4"/>
          <c:tx>
            <c:strRef>
              <c:f>WLCG!$A$79</c:f>
              <c:strCache>
                <c:ptCount val="1"/>
                <c:pt idx="0">
                  <c:v>MWT2</c:v>
                </c:pt>
              </c:strCache>
            </c:strRef>
          </c:tx>
          <c:cat>
            <c:numRef>
              <c:f>WLCG!$B$74:$H$74</c:f>
              <c:numCache>
                <c:formatCode>General</c:formatCode>
                <c:ptCount val="7"/>
                <c:pt idx="0">
                  <c:v>2007.0</c:v>
                </c:pt>
                <c:pt idx="1">
                  <c:v>2008.0</c:v>
                </c:pt>
                <c:pt idx="2">
                  <c:v>2009.0</c:v>
                </c:pt>
                <c:pt idx="3">
                  <c:v>2010.0</c:v>
                </c:pt>
                <c:pt idx="4">
                  <c:v>2011.0</c:v>
                </c:pt>
                <c:pt idx="5">
                  <c:v>2012.0</c:v>
                </c:pt>
                <c:pt idx="6">
                  <c:v>2013.0</c:v>
                </c:pt>
              </c:numCache>
            </c:numRef>
          </c:cat>
          <c:val>
            <c:numRef>
              <c:f>WLCG!$B$79:$H$79</c:f>
              <c:numCache>
                <c:formatCode>0</c:formatCode>
                <c:ptCount val="7"/>
                <c:pt idx="0">
                  <c:v>213.0</c:v>
                </c:pt>
                <c:pt idx="1">
                  <c:v>282.0</c:v>
                </c:pt>
                <c:pt idx="2">
                  <c:v>358.0</c:v>
                </c:pt>
                <c:pt idx="3">
                  <c:v>362.0</c:v>
                </c:pt>
                <c:pt idx="4">
                  <c:v>512.0</c:v>
                </c:pt>
                <c:pt idx="5">
                  <c:v>1851.0</c:v>
                </c:pt>
                <c:pt idx="6">
                  <c:v>2577.6</c:v>
                </c:pt>
              </c:numCache>
            </c:numRef>
          </c:val>
        </c:ser>
        <c:ser>
          <c:idx val="5"/>
          <c:order val="5"/>
          <c:tx>
            <c:strRef>
              <c:f>WLCG!$A$80</c:f>
              <c:strCache>
                <c:ptCount val="1"/>
                <c:pt idx="0">
                  <c:v>AGLT2</c:v>
                </c:pt>
              </c:strCache>
            </c:strRef>
          </c:tx>
          <c:cat>
            <c:numRef>
              <c:f>WLCG!$B$74:$H$74</c:f>
              <c:numCache>
                <c:formatCode>General</c:formatCode>
                <c:ptCount val="7"/>
                <c:pt idx="0">
                  <c:v>2007.0</c:v>
                </c:pt>
                <c:pt idx="1">
                  <c:v>2008.0</c:v>
                </c:pt>
                <c:pt idx="2">
                  <c:v>2009.0</c:v>
                </c:pt>
                <c:pt idx="3">
                  <c:v>2010.0</c:v>
                </c:pt>
                <c:pt idx="4">
                  <c:v>2011.0</c:v>
                </c:pt>
                <c:pt idx="5">
                  <c:v>2012.0</c:v>
                </c:pt>
                <c:pt idx="6">
                  <c:v>2013.0</c:v>
                </c:pt>
              </c:numCache>
            </c:numRef>
          </c:cat>
          <c:val>
            <c:numRef>
              <c:f>WLCG!$B$80:$H$80</c:f>
              <c:numCache>
                <c:formatCode>0</c:formatCode>
                <c:ptCount val="7"/>
                <c:pt idx="0">
                  <c:v>155.0</c:v>
                </c:pt>
                <c:pt idx="1">
                  <c:v>322.0</c:v>
                </c:pt>
                <c:pt idx="2">
                  <c:v>542.0</c:v>
                </c:pt>
                <c:pt idx="3">
                  <c:v>709.0</c:v>
                </c:pt>
                <c:pt idx="4">
                  <c:v>914.0</c:v>
                </c:pt>
                <c:pt idx="5">
                  <c:v>1851.0</c:v>
                </c:pt>
                <c:pt idx="6">
                  <c:v>2577.6</c:v>
                </c:pt>
              </c:numCache>
            </c:numRef>
          </c:val>
        </c:ser>
        <c:ser>
          <c:idx val="6"/>
          <c:order val="6"/>
          <c:tx>
            <c:strRef>
              <c:f>WLCG!$A$81</c:f>
              <c:strCache>
                <c:ptCount val="1"/>
                <c:pt idx="0">
                  <c:v>WT2</c:v>
                </c:pt>
              </c:strCache>
            </c:strRef>
          </c:tx>
          <c:cat>
            <c:numRef>
              <c:f>WLCG!$B$74:$H$74</c:f>
              <c:numCache>
                <c:formatCode>General</c:formatCode>
                <c:ptCount val="7"/>
                <c:pt idx="0">
                  <c:v>2007.0</c:v>
                </c:pt>
                <c:pt idx="1">
                  <c:v>2008.0</c:v>
                </c:pt>
                <c:pt idx="2">
                  <c:v>2009.0</c:v>
                </c:pt>
                <c:pt idx="3">
                  <c:v>2010.0</c:v>
                </c:pt>
                <c:pt idx="4">
                  <c:v>2011.0</c:v>
                </c:pt>
                <c:pt idx="5">
                  <c:v>2012.0</c:v>
                </c:pt>
                <c:pt idx="6">
                  <c:v>2013.0</c:v>
                </c:pt>
              </c:numCache>
            </c:numRef>
          </c:cat>
          <c:val>
            <c:numRef>
              <c:f>WLCG!$B$81:$H$81</c:f>
              <c:numCache>
                <c:formatCode>0</c:formatCode>
                <c:ptCount val="7"/>
                <c:pt idx="0">
                  <c:v>51.0</c:v>
                </c:pt>
                <c:pt idx="1">
                  <c:v>275.0</c:v>
                </c:pt>
                <c:pt idx="2">
                  <c:v>412.5</c:v>
                </c:pt>
                <c:pt idx="3">
                  <c:v>618.75</c:v>
                </c:pt>
                <c:pt idx="4">
                  <c:v>928.125</c:v>
                </c:pt>
                <c:pt idx="5">
                  <c:v>1851.0</c:v>
                </c:pt>
                <c:pt idx="6">
                  <c:v>2577.6</c:v>
                </c:pt>
              </c:numCache>
            </c:numRef>
          </c:val>
        </c:ser>
        <c:shape val="box"/>
        <c:axId val="544971544"/>
        <c:axId val="544974584"/>
        <c:axId val="0"/>
      </c:bar3DChart>
      <c:catAx>
        <c:axId val="544971544"/>
        <c:scaling>
          <c:orientation val="minMax"/>
        </c:scaling>
        <c:axPos val="b"/>
        <c:numFmt formatCode="General" sourceLinked="1"/>
        <c:tickLblPos val="nextTo"/>
        <c:crossAx val="544974584"/>
        <c:crosses val="autoZero"/>
        <c:auto val="1"/>
        <c:lblAlgn val="ctr"/>
        <c:lblOffset val="100"/>
      </c:catAx>
      <c:valAx>
        <c:axId val="544974584"/>
        <c:scaling>
          <c:orientation val="minMax"/>
        </c:scaling>
        <c:axPos val="l"/>
        <c:majorGridlines/>
        <c:numFmt formatCode="General" sourceLinked="1"/>
        <c:tickLblPos val="nextTo"/>
        <c:crossAx val="54497154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8"/>
  <c:chart>
    <c:plotArea>
      <c:layout/>
      <c:barChart>
        <c:barDir val="col"/>
        <c:grouping val="clustered"/>
        <c:ser>
          <c:idx val="0"/>
          <c:order val="0"/>
          <c:tx>
            <c:strRef>
              <c:f>WLCG!$A$145</c:f>
              <c:strCache>
                <c:ptCount val="1"/>
                <c:pt idx="0">
                  <c:v>NET2</c:v>
                </c:pt>
              </c:strCache>
            </c:strRef>
          </c:tx>
          <c:cat>
            <c:numRef>
              <c:f>WLCG!$B$144:$H$144</c:f>
              <c:numCache>
                <c:formatCode>General</c:formatCode>
                <c:ptCount val="7"/>
                <c:pt idx="0">
                  <c:v>2007.0</c:v>
                </c:pt>
                <c:pt idx="1">
                  <c:v>2008.0</c:v>
                </c:pt>
                <c:pt idx="2">
                  <c:v>2009.0</c:v>
                </c:pt>
                <c:pt idx="3">
                  <c:v>2010.0</c:v>
                </c:pt>
                <c:pt idx="4">
                  <c:v>2011.0</c:v>
                </c:pt>
                <c:pt idx="5">
                  <c:v>2012.0</c:v>
                </c:pt>
                <c:pt idx="6">
                  <c:v>2013.0</c:v>
                </c:pt>
              </c:numCache>
            </c:numRef>
          </c:cat>
          <c:val>
            <c:numRef>
              <c:f>WLCG!$B$145:$H$145</c:f>
              <c:numCache>
                <c:formatCode>0</c:formatCode>
                <c:ptCount val="7"/>
                <c:pt idx="0">
                  <c:v>103.0</c:v>
                </c:pt>
                <c:pt idx="1">
                  <c:v>244.0</c:v>
                </c:pt>
                <c:pt idx="2">
                  <c:v>445.0</c:v>
                </c:pt>
                <c:pt idx="3">
                  <c:v>727.0</c:v>
                </c:pt>
                <c:pt idx="4">
                  <c:v>1024.0</c:v>
                </c:pt>
                <c:pt idx="5">
                  <c:v>1851.0</c:v>
                </c:pt>
                <c:pt idx="6">
                  <c:v>2577.6</c:v>
                </c:pt>
              </c:numCache>
            </c:numRef>
          </c:val>
        </c:ser>
        <c:ser>
          <c:idx val="1"/>
          <c:order val="1"/>
          <c:tx>
            <c:strRef>
              <c:f>WLCG!$A$146</c:f>
              <c:strCache>
                <c:ptCount val="1"/>
                <c:pt idx="0">
                  <c:v>SWT2</c:v>
                </c:pt>
              </c:strCache>
            </c:strRef>
          </c:tx>
          <c:cat>
            <c:numRef>
              <c:f>WLCG!$B$144:$H$144</c:f>
              <c:numCache>
                <c:formatCode>General</c:formatCode>
                <c:ptCount val="7"/>
                <c:pt idx="0">
                  <c:v>2007.0</c:v>
                </c:pt>
                <c:pt idx="1">
                  <c:v>2008.0</c:v>
                </c:pt>
                <c:pt idx="2">
                  <c:v>2009.0</c:v>
                </c:pt>
                <c:pt idx="3">
                  <c:v>2010.0</c:v>
                </c:pt>
                <c:pt idx="4">
                  <c:v>2011.0</c:v>
                </c:pt>
                <c:pt idx="5">
                  <c:v>2012.0</c:v>
                </c:pt>
                <c:pt idx="6">
                  <c:v>2013.0</c:v>
                </c:pt>
              </c:numCache>
            </c:numRef>
          </c:cat>
          <c:val>
            <c:numRef>
              <c:f>WLCG!$B$146:$H$146</c:f>
              <c:numCache>
                <c:formatCode>0</c:formatCode>
                <c:ptCount val="7"/>
                <c:pt idx="0">
                  <c:v>143.0</c:v>
                </c:pt>
                <c:pt idx="1">
                  <c:v>256.0</c:v>
                </c:pt>
                <c:pt idx="2">
                  <c:v>328.0</c:v>
                </c:pt>
                <c:pt idx="3">
                  <c:v>650.0</c:v>
                </c:pt>
                <c:pt idx="4">
                  <c:v>1103.0</c:v>
                </c:pt>
                <c:pt idx="5">
                  <c:v>1851.0</c:v>
                </c:pt>
                <c:pt idx="6">
                  <c:v>2577.6</c:v>
                </c:pt>
              </c:numCache>
            </c:numRef>
          </c:val>
        </c:ser>
        <c:ser>
          <c:idx val="2"/>
          <c:order val="2"/>
          <c:tx>
            <c:strRef>
              <c:f>WLCG!$A$147</c:f>
              <c:strCache>
                <c:ptCount val="1"/>
                <c:pt idx="0">
                  <c:v>MWT2</c:v>
                </c:pt>
              </c:strCache>
            </c:strRef>
          </c:tx>
          <c:cat>
            <c:numRef>
              <c:f>WLCG!$B$144:$H$144</c:f>
              <c:numCache>
                <c:formatCode>General</c:formatCode>
                <c:ptCount val="7"/>
                <c:pt idx="0">
                  <c:v>2007.0</c:v>
                </c:pt>
                <c:pt idx="1">
                  <c:v>2008.0</c:v>
                </c:pt>
                <c:pt idx="2">
                  <c:v>2009.0</c:v>
                </c:pt>
                <c:pt idx="3">
                  <c:v>2010.0</c:v>
                </c:pt>
                <c:pt idx="4">
                  <c:v>2011.0</c:v>
                </c:pt>
                <c:pt idx="5">
                  <c:v>2012.0</c:v>
                </c:pt>
                <c:pt idx="6">
                  <c:v>2013.0</c:v>
                </c:pt>
              </c:numCache>
            </c:numRef>
          </c:cat>
          <c:val>
            <c:numRef>
              <c:f>WLCG!$B$147:$H$147</c:f>
              <c:numCache>
                <c:formatCode>0</c:formatCode>
                <c:ptCount val="7"/>
                <c:pt idx="0">
                  <c:v>213.0</c:v>
                </c:pt>
                <c:pt idx="1">
                  <c:v>282.0</c:v>
                </c:pt>
                <c:pt idx="2">
                  <c:v>358.0</c:v>
                </c:pt>
                <c:pt idx="3">
                  <c:v>362.0</c:v>
                </c:pt>
                <c:pt idx="4">
                  <c:v>512.0</c:v>
                </c:pt>
                <c:pt idx="5">
                  <c:v>1851.0</c:v>
                </c:pt>
                <c:pt idx="6">
                  <c:v>2577.6</c:v>
                </c:pt>
              </c:numCache>
            </c:numRef>
          </c:val>
        </c:ser>
        <c:ser>
          <c:idx val="3"/>
          <c:order val="3"/>
          <c:tx>
            <c:strRef>
              <c:f>WLCG!$A$148</c:f>
              <c:strCache>
                <c:ptCount val="1"/>
                <c:pt idx="0">
                  <c:v>AGLT2</c:v>
                </c:pt>
              </c:strCache>
            </c:strRef>
          </c:tx>
          <c:cat>
            <c:numRef>
              <c:f>WLCG!$B$144:$H$144</c:f>
              <c:numCache>
                <c:formatCode>General</c:formatCode>
                <c:ptCount val="7"/>
                <c:pt idx="0">
                  <c:v>2007.0</c:v>
                </c:pt>
                <c:pt idx="1">
                  <c:v>2008.0</c:v>
                </c:pt>
                <c:pt idx="2">
                  <c:v>2009.0</c:v>
                </c:pt>
                <c:pt idx="3">
                  <c:v>2010.0</c:v>
                </c:pt>
                <c:pt idx="4">
                  <c:v>2011.0</c:v>
                </c:pt>
                <c:pt idx="5">
                  <c:v>2012.0</c:v>
                </c:pt>
                <c:pt idx="6">
                  <c:v>2013.0</c:v>
                </c:pt>
              </c:numCache>
            </c:numRef>
          </c:cat>
          <c:val>
            <c:numRef>
              <c:f>WLCG!$B$148:$H$148</c:f>
              <c:numCache>
                <c:formatCode>0</c:formatCode>
                <c:ptCount val="7"/>
                <c:pt idx="0">
                  <c:v>155.0</c:v>
                </c:pt>
                <c:pt idx="1">
                  <c:v>322.0</c:v>
                </c:pt>
                <c:pt idx="2">
                  <c:v>542.0</c:v>
                </c:pt>
                <c:pt idx="3">
                  <c:v>709.0</c:v>
                </c:pt>
                <c:pt idx="4">
                  <c:v>914.0</c:v>
                </c:pt>
                <c:pt idx="5">
                  <c:v>1851.0</c:v>
                </c:pt>
                <c:pt idx="6">
                  <c:v>2577.6</c:v>
                </c:pt>
              </c:numCache>
            </c:numRef>
          </c:val>
        </c:ser>
        <c:ser>
          <c:idx val="4"/>
          <c:order val="4"/>
          <c:tx>
            <c:strRef>
              <c:f>WLCG!$A$149</c:f>
              <c:strCache>
                <c:ptCount val="1"/>
                <c:pt idx="0">
                  <c:v>WT2</c:v>
                </c:pt>
              </c:strCache>
            </c:strRef>
          </c:tx>
          <c:cat>
            <c:numRef>
              <c:f>WLCG!$B$144:$H$144</c:f>
              <c:numCache>
                <c:formatCode>General</c:formatCode>
                <c:ptCount val="7"/>
                <c:pt idx="0">
                  <c:v>2007.0</c:v>
                </c:pt>
                <c:pt idx="1">
                  <c:v>2008.0</c:v>
                </c:pt>
                <c:pt idx="2">
                  <c:v>2009.0</c:v>
                </c:pt>
                <c:pt idx="3">
                  <c:v>2010.0</c:v>
                </c:pt>
                <c:pt idx="4">
                  <c:v>2011.0</c:v>
                </c:pt>
                <c:pt idx="5">
                  <c:v>2012.0</c:v>
                </c:pt>
                <c:pt idx="6">
                  <c:v>2013.0</c:v>
                </c:pt>
              </c:numCache>
            </c:numRef>
          </c:cat>
          <c:val>
            <c:numRef>
              <c:f>WLCG!$B$149:$H$149</c:f>
              <c:numCache>
                <c:formatCode>0</c:formatCode>
                <c:ptCount val="7"/>
                <c:pt idx="0">
                  <c:v>228.0</c:v>
                </c:pt>
                <c:pt idx="1">
                  <c:v>462.0</c:v>
                </c:pt>
                <c:pt idx="2">
                  <c:v>794.0</c:v>
                </c:pt>
                <c:pt idx="3">
                  <c:v>1034.0</c:v>
                </c:pt>
                <c:pt idx="4">
                  <c:v>1462.0</c:v>
                </c:pt>
                <c:pt idx="5">
                  <c:v>1851.0</c:v>
                </c:pt>
                <c:pt idx="6">
                  <c:v>2577.6</c:v>
                </c:pt>
              </c:numCache>
            </c:numRef>
          </c:val>
        </c:ser>
        <c:axId val="545009112"/>
        <c:axId val="545012328"/>
      </c:barChart>
      <c:catAx>
        <c:axId val="545009112"/>
        <c:scaling>
          <c:orientation val="minMax"/>
        </c:scaling>
        <c:axPos val="b"/>
        <c:numFmt formatCode="General" sourceLinked="1"/>
        <c:tickLblPos val="nextTo"/>
        <c:crossAx val="545012328"/>
        <c:crosses val="autoZero"/>
        <c:auto val="1"/>
        <c:lblAlgn val="ctr"/>
        <c:lblOffset val="100"/>
      </c:catAx>
      <c:valAx>
        <c:axId val="545012328"/>
        <c:scaling>
          <c:orientation val="minMax"/>
        </c:scaling>
        <c:axPos val="l"/>
        <c:majorGridlines/>
        <c:numFmt formatCode="0" sourceLinked="1"/>
        <c:tickLblPos val="nextTo"/>
        <c:crossAx val="54500911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Installed CPU vs WLCG Pledge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WLCG!$K$2</c:f>
              <c:strCache>
                <c:ptCount val="1"/>
                <c:pt idx="0">
                  <c:v>CPU Installed (SI2K)</c:v>
                </c:pt>
              </c:strCache>
            </c:strRef>
          </c:tx>
          <c:cat>
            <c:strRef>
              <c:f>WLCG!$J$3:$J$10</c:f>
              <c:strCache>
                <c:ptCount val="8"/>
                <c:pt idx="0">
                  <c:v>T1</c:v>
                </c:pt>
                <c:pt idx="1">
                  <c:v>NET2</c:v>
                </c:pt>
                <c:pt idx="2">
                  <c:v>SWT2</c:v>
                </c:pt>
                <c:pt idx="3">
                  <c:v>MWT2</c:v>
                </c:pt>
                <c:pt idx="4">
                  <c:v>AGLT2</c:v>
                </c:pt>
                <c:pt idx="5">
                  <c:v>WT2</c:v>
                </c:pt>
                <c:pt idx="6">
                  <c:v>USATLAS FACILITY</c:v>
                </c:pt>
                <c:pt idx="7">
                  <c:v>USATLAS TIER2</c:v>
                </c:pt>
              </c:strCache>
            </c:strRef>
          </c:cat>
          <c:val>
            <c:numRef>
              <c:f>WLCG!$K$3:$K$10</c:f>
              <c:numCache>
                <c:formatCode>#,##0_);[Red]\(#,##0\)</c:formatCode>
                <c:ptCount val="8"/>
                <c:pt idx="0">
                  <c:v>6.120816E6</c:v>
                </c:pt>
                <c:pt idx="1">
                  <c:v>1.375816E6</c:v>
                </c:pt>
                <c:pt idx="2">
                  <c:v>2.341916E6</c:v>
                </c:pt>
                <c:pt idx="3">
                  <c:v>4.770976E6</c:v>
                </c:pt>
                <c:pt idx="4">
                  <c:v>4.677868E6</c:v>
                </c:pt>
                <c:pt idx="5">
                  <c:v>1.171567764E6</c:v>
                </c:pt>
                <c:pt idx="6">
                  <c:v>2.0458959764E7</c:v>
                </c:pt>
                <c:pt idx="7">
                  <c:v>1.4338143764E7</c:v>
                </c:pt>
              </c:numCache>
            </c:numRef>
          </c:val>
        </c:ser>
        <c:ser>
          <c:idx val="1"/>
          <c:order val="1"/>
          <c:tx>
            <c:strRef>
              <c:f>WLCG!$L$2</c:f>
              <c:strCache>
                <c:ptCount val="1"/>
                <c:pt idx="0">
                  <c:v>CPU P2007 (SI2K)</c:v>
                </c:pt>
              </c:strCache>
            </c:strRef>
          </c:tx>
          <c:cat>
            <c:strRef>
              <c:f>WLCG!$J$3:$J$10</c:f>
              <c:strCache>
                <c:ptCount val="8"/>
                <c:pt idx="0">
                  <c:v>T1</c:v>
                </c:pt>
                <c:pt idx="1">
                  <c:v>NET2</c:v>
                </c:pt>
                <c:pt idx="2">
                  <c:v>SWT2</c:v>
                </c:pt>
                <c:pt idx="3">
                  <c:v>MWT2</c:v>
                </c:pt>
                <c:pt idx="4">
                  <c:v>AGLT2</c:v>
                </c:pt>
                <c:pt idx="5">
                  <c:v>WT2</c:v>
                </c:pt>
                <c:pt idx="6">
                  <c:v>USATLAS FACILITY</c:v>
                </c:pt>
                <c:pt idx="7">
                  <c:v>USATLAS TIER2</c:v>
                </c:pt>
              </c:strCache>
            </c:strRef>
          </c:cat>
          <c:val>
            <c:numRef>
              <c:f>WLCG!$L$3:$L$10</c:f>
              <c:numCache>
                <c:formatCode>0</c:formatCode>
                <c:ptCount val="8"/>
                <c:pt idx="0" formatCode="General">
                  <c:v>2.56E6</c:v>
                </c:pt>
                <c:pt idx="1">
                  <c:v>394000.0</c:v>
                </c:pt>
                <c:pt idx="2">
                  <c:v>998000.0</c:v>
                </c:pt>
                <c:pt idx="3">
                  <c:v>826000.0</c:v>
                </c:pt>
                <c:pt idx="4">
                  <c:v>581000.0</c:v>
                </c:pt>
                <c:pt idx="5">
                  <c:v>550000.0</c:v>
                </c:pt>
                <c:pt idx="6" formatCode="#,##0_);[Red]\(#,##0\)">
                  <c:v>5.909E6</c:v>
                </c:pt>
                <c:pt idx="7" formatCode="#,##0_);[Red]\(#,##0\)">
                  <c:v>3.349E6</c:v>
                </c:pt>
              </c:numCache>
            </c:numRef>
          </c:val>
        </c:ser>
        <c:ser>
          <c:idx val="2"/>
          <c:order val="2"/>
          <c:tx>
            <c:strRef>
              <c:f>WLCG!$M$2</c:f>
              <c:strCache>
                <c:ptCount val="1"/>
                <c:pt idx="0">
                  <c:v>CPU P2008 (SI2K)</c:v>
                </c:pt>
              </c:strCache>
            </c:strRef>
          </c:tx>
          <c:cat>
            <c:strRef>
              <c:f>WLCG!$J$3:$J$10</c:f>
              <c:strCache>
                <c:ptCount val="8"/>
                <c:pt idx="0">
                  <c:v>T1</c:v>
                </c:pt>
                <c:pt idx="1">
                  <c:v>NET2</c:v>
                </c:pt>
                <c:pt idx="2">
                  <c:v>SWT2</c:v>
                </c:pt>
                <c:pt idx="3">
                  <c:v>MWT2</c:v>
                </c:pt>
                <c:pt idx="4">
                  <c:v>AGLT2</c:v>
                </c:pt>
                <c:pt idx="5">
                  <c:v>WT2</c:v>
                </c:pt>
                <c:pt idx="6">
                  <c:v>USATLAS FACILITY</c:v>
                </c:pt>
                <c:pt idx="7">
                  <c:v>USATLAS TIER2</c:v>
                </c:pt>
              </c:strCache>
            </c:strRef>
          </c:cat>
          <c:val>
            <c:numRef>
              <c:f>WLCG!$M$3:$M$10</c:f>
              <c:numCache>
                <c:formatCode>0</c:formatCode>
                <c:ptCount val="8"/>
                <c:pt idx="0" formatCode="General">
                  <c:v>4.844E6</c:v>
                </c:pt>
                <c:pt idx="1">
                  <c:v>665000.0</c:v>
                </c:pt>
                <c:pt idx="2">
                  <c:v>1.386E6</c:v>
                </c:pt>
                <c:pt idx="3">
                  <c:v>1.112E6</c:v>
                </c:pt>
                <c:pt idx="4">
                  <c:v>965000.0</c:v>
                </c:pt>
                <c:pt idx="5">
                  <c:v>820000.0</c:v>
                </c:pt>
                <c:pt idx="6" formatCode="#,##0_);[Red]\(#,##0\)">
                  <c:v>9.792E6</c:v>
                </c:pt>
                <c:pt idx="7" formatCode="#,##0_);[Red]\(#,##0\)">
                  <c:v>4.948E6</c:v>
                </c:pt>
              </c:numCache>
            </c:numRef>
          </c:val>
        </c:ser>
        <c:ser>
          <c:idx val="3"/>
          <c:order val="3"/>
          <c:tx>
            <c:strRef>
              <c:f>WLCG!$N$2</c:f>
              <c:strCache>
                <c:ptCount val="1"/>
                <c:pt idx="0">
                  <c:v>CPU P2009 (SI2K)</c:v>
                </c:pt>
              </c:strCache>
            </c:strRef>
          </c:tx>
          <c:cat>
            <c:strRef>
              <c:f>WLCG!$J$3:$J$10</c:f>
              <c:strCache>
                <c:ptCount val="8"/>
                <c:pt idx="0">
                  <c:v>T1</c:v>
                </c:pt>
                <c:pt idx="1">
                  <c:v>NET2</c:v>
                </c:pt>
                <c:pt idx="2">
                  <c:v>SWT2</c:v>
                </c:pt>
                <c:pt idx="3">
                  <c:v>MWT2</c:v>
                </c:pt>
                <c:pt idx="4">
                  <c:v>AGLT2</c:v>
                </c:pt>
                <c:pt idx="5">
                  <c:v>WT2</c:v>
                </c:pt>
                <c:pt idx="6">
                  <c:v>USATLAS FACILITY</c:v>
                </c:pt>
                <c:pt idx="7">
                  <c:v>USATLAS TIER2</c:v>
                </c:pt>
              </c:strCache>
            </c:strRef>
          </c:cat>
          <c:val>
            <c:numRef>
              <c:f>WLCG!$N$3:$N$10</c:f>
              <c:numCache>
                <c:formatCode>0</c:formatCode>
                <c:ptCount val="8"/>
                <c:pt idx="0" formatCode="General">
                  <c:v>7.337E6</c:v>
                </c:pt>
                <c:pt idx="1">
                  <c:v>1.049E6</c:v>
                </c:pt>
                <c:pt idx="2">
                  <c:v>1.734E6</c:v>
                </c:pt>
                <c:pt idx="3">
                  <c:v>978000.0</c:v>
                </c:pt>
                <c:pt idx="4">
                  <c:v>1.406E6</c:v>
                </c:pt>
                <c:pt idx="5">
                  <c:v>1.202E6</c:v>
                </c:pt>
                <c:pt idx="6" formatCode="#,##0_);[Red]\(#,##0\)">
                  <c:v>1.3706E7</c:v>
                </c:pt>
                <c:pt idx="7" formatCode="#,##0_);[Red]\(#,##0\)">
                  <c:v>6.369E6</c:v>
                </c:pt>
              </c:numCache>
            </c:numRef>
          </c:val>
        </c:ser>
        <c:ser>
          <c:idx val="4"/>
          <c:order val="4"/>
          <c:tx>
            <c:strRef>
              <c:f>WLCG!$O$2</c:f>
              <c:strCache>
                <c:ptCount val="1"/>
                <c:pt idx="0">
                  <c:v>CPU P2010 (SI2K)</c:v>
                </c:pt>
              </c:strCache>
            </c:strRef>
          </c:tx>
          <c:cat>
            <c:strRef>
              <c:f>WLCG!$J$3:$J$10</c:f>
              <c:strCache>
                <c:ptCount val="8"/>
                <c:pt idx="0">
                  <c:v>T1</c:v>
                </c:pt>
                <c:pt idx="1">
                  <c:v>NET2</c:v>
                </c:pt>
                <c:pt idx="2">
                  <c:v>SWT2</c:v>
                </c:pt>
                <c:pt idx="3">
                  <c:v>MWT2</c:v>
                </c:pt>
                <c:pt idx="4">
                  <c:v>AGLT2</c:v>
                </c:pt>
                <c:pt idx="5">
                  <c:v>WT2</c:v>
                </c:pt>
                <c:pt idx="6">
                  <c:v>USATLAS FACILITY</c:v>
                </c:pt>
                <c:pt idx="7">
                  <c:v>USATLAS TIER2</c:v>
                </c:pt>
              </c:strCache>
            </c:strRef>
          </c:cat>
          <c:val>
            <c:numRef>
              <c:f>WLCG!$O$3:$O$10</c:f>
              <c:numCache>
                <c:formatCode>0</c:formatCode>
                <c:ptCount val="8"/>
                <c:pt idx="0" formatCode="General">
                  <c:v>1.2765E7</c:v>
                </c:pt>
                <c:pt idx="1">
                  <c:v>1.592E6</c:v>
                </c:pt>
                <c:pt idx="2">
                  <c:v>1.966E6</c:v>
                </c:pt>
                <c:pt idx="3">
                  <c:v>1.262E6</c:v>
                </c:pt>
                <c:pt idx="4">
                  <c:v>1.67E6</c:v>
                </c:pt>
                <c:pt idx="5">
                  <c:v>1.191E6</c:v>
                </c:pt>
                <c:pt idx="6" formatCode="#,##0_);[Red]\(#,##0\)">
                  <c:v>2.0446E7</c:v>
                </c:pt>
                <c:pt idx="7" formatCode="#,##0_);[Red]\(#,##0\)">
                  <c:v>7.681E6</c:v>
                </c:pt>
              </c:numCache>
            </c:numRef>
          </c:val>
        </c:ser>
        <c:ser>
          <c:idx val="5"/>
          <c:order val="5"/>
          <c:tx>
            <c:strRef>
              <c:f>WLCG!$P$2</c:f>
              <c:strCache>
                <c:ptCount val="1"/>
                <c:pt idx="0">
                  <c:v>CPU P2011 (SI2K)</c:v>
                </c:pt>
              </c:strCache>
            </c:strRef>
          </c:tx>
          <c:cat>
            <c:strRef>
              <c:f>WLCG!$J$3:$J$10</c:f>
              <c:strCache>
                <c:ptCount val="8"/>
                <c:pt idx="0">
                  <c:v>T1</c:v>
                </c:pt>
                <c:pt idx="1">
                  <c:v>NET2</c:v>
                </c:pt>
                <c:pt idx="2">
                  <c:v>SWT2</c:v>
                </c:pt>
                <c:pt idx="3">
                  <c:v>MWT2</c:v>
                </c:pt>
                <c:pt idx="4">
                  <c:v>AGLT2</c:v>
                </c:pt>
                <c:pt idx="5">
                  <c:v>WT2</c:v>
                </c:pt>
                <c:pt idx="6">
                  <c:v>USATLAS FACILITY</c:v>
                </c:pt>
                <c:pt idx="7">
                  <c:v>USATLAS TIER2</c:v>
                </c:pt>
              </c:strCache>
            </c:strRef>
          </c:cat>
          <c:val>
            <c:numRef>
              <c:f>WLCG!$P$3:$P$10</c:f>
              <c:numCache>
                <c:formatCode>0</c:formatCode>
                <c:ptCount val="8"/>
                <c:pt idx="0" formatCode="General">
                  <c:v>1.8193E7</c:v>
                </c:pt>
                <c:pt idx="1">
                  <c:v>1.966E6</c:v>
                </c:pt>
                <c:pt idx="2">
                  <c:v>2.514E6</c:v>
                </c:pt>
                <c:pt idx="3">
                  <c:v>1.785E6</c:v>
                </c:pt>
                <c:pt idx="4">
                  <c:v>2.032E6</c:v>
                </c:pt>
                <c:pt idx="5">
                  <c:v>1.685E6</c:v>
                </c:pt>
                <c:pt idx="6" formatCode="#,##0_);[Red]\(#,##0\)">
                  <c:v>2.8175E7</c:v>
                </c:pt>
                <c:pt idx="7" formatCode="#,##0_);[Red]\(#,##0\)">
                  <c:v>9.982E6</c:v>
                </c:pt>
              </c:numCache>
            </c:numRef>
          </c:val>
        </c:ser>
        <c:ser>
          <c:idx val="6"/>
          <c:order val="6"/>
          <c:tx>
            <c:strRef>
              <c:f>WLCG!$Q$2</c:f>
              <c:strCache>
                <c:ptCount val="1"/>
                <c:pt idx="0">
                  <c:v>CPU P2012 (SI2K)</c:v>
                </c:pt>
              </c:strCache>
            </c:strRef>
          </c:tx>
          <c:cat>
            <c:strRef>
              <c:f>WLCG!$J$3:$J$10</c:f>
              <c:strCache>
                <c:ptCount val="8"/>
                <c:pt idx="0">
                  <c:v>T1</c:v>
                </c:pt>
                <c:pt idx="1">
                  <c:v>NET2</c:v>
                </c:pt>
                <c:pt idx="2">
                  <c:v>SWT2</c:v>
                </c:pt>
                <c:pt idx="3">
                  <c:v>MWT2</c:v>
                </c:pt>
                <c:pt idx="4">
                  <c:v>AGLT2</c:v>
                </c:pt>
                <c:pt idx="5">
                  <c:v>WT2</c:v>
                </c:pt>
                <c:pt idx="6">
                  <c:v>USATLAS FACILITY</c:v>
                </c:pt>
                <c:pt idx="7">
                  <c:v>USATLAS TIER2</c:v>
                </c:pt>
              </c:strCache>
            </c:strRef>
          </c:cat>
          <c:val>
            <c:numRef>
              <c:f>WLCG!$Q$3:$Q$10</c:f>
              <c:numCache>
                <c:formatCode>0</c:formatCode>
                <c:ptCount val="8"/>
                <c:pt idx="0" formatCode="General">
                  <c:v>2.11324E7</c:v>
                </c:pt>
                <c:pt idx="1">
                  <c:v>3.9896E6</c:v>
                </c:pt>
                <c:pt idx="2">
                  <c:v>3.9896E6</c:v>
                </c:pt>
                <c:pt idx="3">
                  <c:v>3.9896E6</c:v>
                </c:pt>
                <c:pt idx="4">
                  <c:v>3.9896E6</c:v>
                </c:pt>
                <c:pt idx="5">
                  <c:v>3.9896E6</c:v>
                </c:pt>
                <c:pt idx="6" formatCode="#,##0_);[Red]\(#,##0\)">
                  <c:v>4.10804E7</c:v>
                </c:pt>
                <c:pt idx="7" formatCode="#,##0_);[Red]\(#,##0\)">
                  <c:v>1.9948E7</c:v>
                </c:pt>
              </c:numCache>
            </c:numRef>
          </c:val>
        </c:ser>
        <c:ser>
          <c:idx val="7"/>
          <c:order val="7"/>
          <c:tx>
            <c:strRef>
              <c:f>WLCG!$R$2</c:f>
              <c:strCache>
                <c:ptCount val="1"/>
                <c:pt idx="0">
                  <c:v>CPU P2013 (SI2K)</c:v>
                </c:pt>
              </c:strCache>
            </c:strRef>
          </c:tx>
          <c:cat>
            <c:strRef>
              <c:f>WLCG!$J$3:$J$10</c:f>
              <c:strCache>
                <c:ptCount val="8"/>
                <c:pt idx="0">
                  <c:v>T1</c:v>
                </c:pt>
                <c:pt idx="1">
                  <c:v>NET2</c:v>
                </c:pt>
                <c:pt idx="2">
                  <c:v>SWT2</c:v>
                </c:pt>
                <c:pt idx="3">
                  <c:v>MWT2</c:v>
                </c:pt>
                <c:pt idx="4">
                  <c:v>AGLT2</c:v>
                </c:pt>
                <c:pt idx="5">
                  <c:v>WT2</c:v>
                </c:pt>
                <c:pt idx="6">
                  <c:v>USATLAS FACILITY</c:v>
                </c:pt>
                <c:pt idx="7">
                  <c:v>USATLAS TIER2</c:v>
                </c:pt>
              </c:strCache>
            </c:strRef>
          </c:cat>
          <c:val>
            <c:numRef>
              <c:f>WLCG!$R$3:$R$10</c:f>
              <c:numCache>
                <c:formatCode>0</c:formatCode>
                <c:ptCount val="8"/>
                <c:pt idx="0" formatCode="General">
                  <c:v>3.22E7</c:v>
                </c:pt>
                <c:pt idx="1">
                  <c:v>5.474E6</c:v>
                </c:pt>
                <c:pt idx="2">
                  <c:v>5.474E6</c:v>
                </c:pt>
                <c:pt idx="3">
                  <c:v>5.474E6</c:v>
                </c:pt>
                <c:pt idx="4">
                  <c:v>5.474E6</c:v>
                </c:pt>
                <c:pt idx="5">
                  <c:v>5.474E6</c:v>
                </c:pt>
                <c:pt idx="6" formatCode="#,##0_);[Red]\(#,##0\)">
                  <c:v>5.957E7</c:v>
                </c:pt>
                <c:pt idx="7" formatCode="#,##0_);[Red]\(#,##0\)">
                  <c:v>2.737E7</c:v>
                </c:pt>
              </c:numCache>
            </c:numRef>
          </c:val>
        </c:ser>
        <c:axId val="545069640"/>
        <c:axId val="545076792"/>
      </c:barChart>
      <c:catAx>
        <c:axId val="54506964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Site</a:t>
                </a:r>
              </a:p>
            </c:rich>
          </c:tx>
          <c:layout/>
        </c:title>
        <c:tickLblPos val="nextTo"/>
        <c:crossAx val="545076792"/>
        <c:crosses val="autoZero"/>
        <c:auto val="1"/>
        <c:lblAlgn val="ctr"/>
        <c:lblOffset val="100"/>
      </c:catAx>
      <c:valAx>
        <c:axId val="54507679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SI2K</a:t>
                </a:r>
              </a:p>
            </c:rich>
          </c:tx>
          <c:layout/>
        </c:title>
        <c:numFmt formatCode="#,##0_);[Red]\(#,##0\)" sourceLinked="1"/>
        <c:tickLblPos val="nextTo"/>
        <c:crossAx val="54506964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.xml"/><Relationship Id="rId4" Type="http://schemas.openxmlformats.org/officeDocument/2006/relationships/chart" Target="../charts/chart6.xml"/><Relationship Id="rId5" Type="http://schemas.openxmlformats.org/officeDocument/2006/relationships/chart" Target="../charts/chart7.xml"/><Relationship Id="rId7" Type="http://schemas.openxmlformats.org/officeDocument/2006/relationships/chart" Target="../charts/chart9.xml"/><Relationship Id="rId1" Type="http://schemas.openxmlformats.org/officeDocument/2006/relationships/chart" Target="../charts/chart3.xml"/><Relationship Id="rId2" Type="http://schemas.openxmlformats.org/officeDocument/2006/relationships/chart" Target="../charts/chart4.xml"/><Relationship Id="rId3" Type="http://schemas.openxmlformats.org/officeDocument/2006/relationships/chart" Target="../charts/chart5.xml"/><Relationship Id="rId6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120</xdr:row>
      <xdr:rowOff>12700</xdr:rowOff>
    </xdr:from>
    <xdr:to>
      <xdr:col>3</xdr:col>
      <xdr:colOff>622300</xdr:colOff>
      <xdr:row>138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838200</xdr:colOff>
      <xdr:row>112</xdr:row>
      <xdr:rowOff>139700</xdr:rowOff>
    </xdr:from>
    <xdr:to>
      <xdr:col>9</xdr:col>
      <xdr:colOff>406400</xdr:colOff>
      <xdr:row>131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838200</xdr:colOff>
      <xdr:row>38</xdr:row>
      <xdr:rowOff>114300</xdr:rowOff>
    </xdr:from>
    <xdr:to>
      <xdr:col>14</xdr:col>
      <xdr:colOff>88900</xdr:colOff>
      <xdr:row>70</xdr:row>
      <xdr:rowOff>114300</xdr:rowOff>
    </xdr:to>
    <xdr:graphicFrame macro="">
      <xdr:nvGraphicFramePr>
        <xdr:cNvPr id="1147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914400</xdr:colOff>
      <xdr:row>92</xdr:row>
      <xdr:rowOff>139700</xdr:rowOff>
    </xdr:from>
    <xdr:to>
      <xdr:col>17</xdr:col>
      <xdr:colOff>1612900</xdr:colOff>
      <xdr:row>117</xdr:row>
      <xdr:rowOff>139700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120</xdr:row>
      <xdr:rowOff>38100</xdr:rowOff>
    </xdr:from>
    <xdr:to>
      <xdr:col>3</xdr:col>
      <xdr:colOff>698500</xdr:colOff>
      <xdr:row>139</xdr:row>
      <xdr:rowOff>38100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25400</xdr:colOff>
      <xdr:row>82</xdr:row>
      <xdr:rowOff>63500</xdr:rowOff>
    </xdr:from>
    <xdr:to>
      <xdr:col>3</xdr:col>
      <xdr:colOff>723900</xdr:colOff>
      <xdr:row>100</xdr:row>
      <xdr:rowOff>63500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25400</xdr:colOff>
      <xdr:row>101</xdr:row>
      <xdr:rowOff>0</xdr:rowOff>
    </xdr:from>
    <xdr:to>
      <xdr:col>3</xdr:col>
      <xdr:colOff>723900</xdr:colOff>
      <xdr:row>119</xdr:row>
      <xdr:rowOff>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254000</xdr:colOff>
      <xdr:row>120</xdr:row>
      <xdr:rowOff>12700</xdr:rowOff>
    </xdr:from>
    <xdr:to>
      <xdr:col>8</xdr:col>
      <xdr:colOff>444500</xdr:colOff>
      <xdr:row>138</xdr:row>
      <xdr:rowOff>12700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850900</xdr:colOff>
      <xdr:row>12</xdr:row>
      <xdr:rowOff>12700</xdr:rowOff>
    </xdr:from>
    <xdr:to>
      <xdr:col>14</xdr:col>
      <xdr:colOff>76200</xdr:colOff>
      <xdr:row>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825500</xdr:colOff>
      <xdr:row>92</xdr:row>
      <xdr:rowOff>139700</xdr:rowOff>
    </xdr:from>
    <xdr:to>
      <xdr:col>13</xdr:col>
      <xdr:colOff>774700</xdr:colOff>
      <xdr:row>118</xdr:row>
      <xdr:rowOff>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Normalization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Normalization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P125"/>
  <sheetViews>
    <sheetView workbookViewId="0">
      <pane ySplit="4" topLeftCell="A5" activePane="bottomLeft" state="frozen"/>
      <selection pane="bottomLeft" activeCell="H12" sqref="H12"/>
    </sheetView>
  </sheetViews>
  <sheetFormatPr baseColWidth="10" defaultColWidth="8.83203125" defaultRowHeight="12"/>
  <cols>
    <col min="1" max="1" width="11.83203125" customWidth="1"/>
    <col min="2" max="2" width="38.83203125" bestFit="1" customWidth="1"/>
    <col min="3" max="3" width="11.33203125" bestFit="1" customWidth="1"/>
    <col min="4" max="4" width="13.6640625" customWidth="1"/>
    <col min="5" max="5" width="6" style="7" bestFit="1" customWidth="1"/>
    <col min="6" max="6" width="13.83203125" style="3" bestFit="1" customWidth="1"/>
    <col min="7" max="7" width="9" style="3" customWidth="1"/>
    <col min="8" max="8" width="14.83203125" style="3" customWidth="1"/>
    <col min="9" max="9" width="7.1640625" style="17" customWidth="1"/>
    <col min="10" max="10" width="9.1640625" style="9" customWidth="1"/>
  </cols>
  <sheetData>
    <row r="1" spans="1:10" ht="18">
      <c r="A1" s="77" t="s">
        <v>22</v>
      </c>
      <c r="B1" s="77"/>
      <c r="C1" s="78" t="s">
        <v>29</v>
      </c>
      <c r="D1" s="78">
        <v>39855</v>
      </c>
    </row>
    <row r="2" spans="1:10" ht="19" thickBot="1">
      <c r="A2" s="77"/>
      <c r="B2" s="61"/>
    </row>
    <row r="3" spans="1:10" s="2" customFormat="1" ht="15">
      <c r="A3" s="62" t="s">
        <v>79</v>
      </c>
      <c r="B3" s="63" t="s">
        <v>182</v>
      </c>
      <c r="C3" s="130" t="s">
        <v>77</v>
      </c>
      <c r="D3" s="63" t="s">
        <v>183</v>
      </c>
      <c r="E3" s="64" t="s">
        <v>184</v>
      </c>
      <c r="F3" s="65" t="s">
        <v>185</v>
      </c>
      <c r="G3" s="128" t="s">
        <v>35</v>
      </c>
      <c r="H3" s="129"/>
      <c r="J3" s="8"/>
    </row>
    <row r="4" spans="1:10" s="2" customFormat="1" ht="16" thickBot="1">
      <c r="A4" s="66"/>
      <c r="B4" s="67"/>
      <c r="C4" s="131"/>
      <c r="D4" s="67"/>
      <c r="E4" s="68"/>
      <c r="F4" s="69"/>
      <c r="G4" s="69" t="s">
        <v>60</v>
      </c>
      <c r="H4" s="70" t="s">
        <v>61</v>
      </c>
      <c r="J4" s="8"/>
    </row>
    <row r="5" spans="1:10">
      <c r="H5" s="5"/>
    </row>
    <row r="6" spans="1:10">
      <c r="A6" s="126" t="s">
        <v>78</v>
      </c>
      <c r="B6" s="127"/>
      <c r="C6" s="71"/>
      <c r="D6" s="57"/>
      <c r="E6" s="58"/>
      <c r="F6" s="59"/>
      <c r="G6" s="59"/>
      <c r="H6" s="59"/>
    </row>
    <row r="7" spans="1:10">
      <c r="B7" s="1" t="s">
        <v>62</v>
      </c>
      <c r="C7" s="1"/>
      <c r="E7" s="7">
        <v>2.66</v>
      </c>
      <c r="F7" s="3">
        <f>8*113</f>
        <v>904</v>
      </c>
      <c r="G7" s="11">
        <v>2178</v>
      </c>
      <c r="H7" s="10">
        <f>+F7*G7</f>
        <v>1968912</v>
      </c>
      <c r="I7" s="17" t="s">
        <v>25</v>
      </c>
    </row>
    <row r="8" spans="1:10">
      <c r="B8" s="1" t="s">
        <v>68</v>
      </c>
      <c r="C8" s="1"/>
      <c r="E8" s="7">
        <v>2.6</v>
      </c>
      <c r="F8" s="3">
        <f>5*4</f>
        <v>20</v>
      </c>
      <c r="G8" s="11">
        <v>1787</v>
      </c>
      <c r="H8" s="10">
        <f>+F8*G8</f>
        <v>35740</v>
      </c>
      <c r="I8" s="17" t="s">
        <v>24</v>
      </c>
    </row>
    <row r="9" spans="1:10">
      <c r="B9" s="1" t="s">
        <v>23</v>
      </c>
      <c r="C9" s="1"/>
      <c r="E9" s="7">
        <v>2.83</v>
      </c>
      <c r="F9" s="3">
        <v>728</v>
      </c>
      <c r="G9" s="11">
        <v>3672</v>
      </c>
      <c r="H9" s="10">
        <f>+F9*G9</f>
        <v>2673216</v>
      </c>
      <c r="I9" s="17" t="s">
        <v>24</v>
      </c>
    </row>
    <row r="10" spans="1:10">
      <c r="B10" s="24" t="s">
        <v>139</v>
      </c>
      <c r="C10" s="12"/>
      <c r="D10" s="13"/>
      <c r="E10" s="14" t="s">
        <v>41</v>
      </c>
      <c r="F10" s="15">
        <f>SUM(F7:F9)</f>
        <v>1652</v>
      </c>
      <c r="G10" s="15"/>
      <c r="H10" s="15">
        <f>SUM(H7:H9)</f>
        <v>4677868</v>
      </c>
    </row>
    <row r="11" spans="1:10">
      <c r="F11" s="4" t="s">
        <v>59</v>
      </c>
      <c r="G11" s="4"/>
      <c r="H11" s="6">
        <f>+H10/$F10</f>
        <v>2831.6392251815982</v>
      </c>
    </row>
    <row r="12" spans="1:10">
      <c r="F12" s="5"/>
      <c r="G12" s="5"/>
      <c r="H12" s="19"/>
    </row>
    <row r="13" spans="1:10">
      <c r="F13" s="5"/>
      <c r="G13" s="5"/>
      <c r="H13" s="19"/>
    </row>
    <row r="14" spans="1:10">
      <c r="A14" s="126" t="s">
        <v>26</v>
      </c>
      <c r="B14" s="127"/>
      <c r="C14" s="71"/>
      <c r="D14" s="57"/>
      <c r="E14" s="58"/>
      <c r="F14" s="59"/>
      <c r="G14" s="59"/>
      <c r="H14" s="59"/>
    </row>
    <row r="15" spans="1:10">
      <c r="B15" s="1" t="s">
        <v>27</v>
      </c>
      <c r="C15" s="1"/>
      <c r="D15" s="1"/>
      <c r="E15" s="7">
        <v>2.33</v>
      </c>
      <c r="F15" s="3">
        <v>4096</v>
      </c>
      <c r="G15" s="108">
        <v>3196</v>
      </c>
      <c r="H15" s="10">
        <f>+F15*G15</f>
        <v>13090816</v>
      </c>
    </row>
    <row r="16" spans="1:10">
      <c r="B16" s="24" t="s">
        <v>139</v>
      </c>
      <c r="C16" s="12"/>
      <c r="D16" s="13"/>
      <c r="E16" s="14" t="s">
        <v>41</v>
      </c>
      <c r="F16" s="15">
        <f>F15</f>
        <v>4096</v>
      </c>
      <c r="G16" s="15"/>
      <c r="H16" s="15">
        <f>SUM(H15:H15)</f>
        <v>13090816</v>
      </c>
      <c r="I16" s="17" t="s">
        <v>28</v>
      </c>
    </row>
    <row r="17" spans="1:9">
      <c r="F17" s="4" t="s">
        <v>59</v>
      </c>
      <c r="G17" s="4"/>
      <c r="H17" s="6">
        <v>3196</v>
      </c>
    </row>
    <row r="18" spans="1:9">
      <c r="F18" s="5"/>
      <c r="G18" s="5"/>
      <c r="H18" s="19"/>
    </row>
    <row r="19" spans="1:9">
      <c r="F19" s="5"/>
      <c r="G19" s="5"/>
      <c r="H19" s="19"/>
    </row>
    <row r="20" spans="1:9">
      <c r="A20" s="126" t="s">
        <v>30</v>
      </c>
      <c r="B20" s="127"/>
      <c r="C20" s="71"/>
      <c r="D20" s="57"/>
      <c r="E20" s="58"/>
      <c r="F20" s="59"/>
      <c r="G20" s="59"/>
      <c r="H20" s="59"/>
    </row>
    <row r="21" spans="1:9">
      <c r="B21" s="1" t="s">
        <v>31</v>
      </c>
      <c r="C21" s="1"/>
      <c r="D21" s="1"/>
      <c r="E21" s="7">
        <v>2.4</v>
      </c>
      <c r="F21" s="3">
        <v>280</v>
      </c>
      <c r="G21" s="108">
        <v>1645</v>
      </c>
      <c r="H21" s="10">
        <f>+F21*G21</f>
        <v>460600</v>
      </c>
    </row>
    <row r="22" spans="1:9">
      <c r="B22" s="1" t="s">
        <v>32</v>
      </c>
      <c r="C22" s="1"/>
      <c r="D22" s="1"/>
      <c r="E22" s="7">
        <v>2.2000000000000002</v>
      </c>
      <c r="F22" s="3">
        <v>52</v>
      </c>
      <c r="G22" s="108">
        <v>1520</v>
      </c>
      <c r="H22" s="10">
        <v>79040</v>
      </c>
    </row>
    <row r="23" spans="1:9">
      <c r="B23" s="1" t="s">
        <v>33</v>
      </c>
      <c r="C23" s="1"/>
      <c r="D23" s="1"/>
      <c r="E23" s="7">
        <v>2.5</v>
      </c>
      <c r="F23" s="3">
        <v>96</v>
      </c>
      <c r="G23" s="108">
        <v>3383</v>
      </c>
      <c r="H23" s="10">
        <v>324768</v>
      </c>
    </row>
    <row r="24" spans="1:9">
      <c r="B24" s="1" t="s">
        <v>16</v>
      </c>
      <c r="C24" s="1"/>
      <c r="D24" s="1"/>
      <c r="E24" s="7">
        <v>2.66</v>
      </c>
      <c r="F24" s="3">
        <v>128</v>
      </c>
      <c r="G24" s="108">
        <v>3489</v>
      </c>
      <c r="H24" s="10">
        <v>446592</v>
      </c>
    </row>
    <row r="25" spans="1:9">
      <c r="B25" s="1" t="s">
        <v>17</v>
      </c>
      <c r="C25" s="1"/>
      <c r="D25" s="1"/>
      <c r="E25" s="7">
        <v>2.93</v>
      </c>
      <c r="F25" s="3">
        <v>16</v>
      </c>
      <c r="G25" s="108">
        <v>4051</v>
      </c>
      <c r="H25" s="10">
        <v>64816</v>
      </c>
    </row>
    <row r="26" spans="1:9">
      <c r="B26" s="24" t="s">
        <v>139</v>
      </c>
      <c r="C26" s="12"/>
      <c r="D26" s="13"/>
      <c r="E26" s="14" t="s">
        <v>41</v>
      </c>
      <c r="F26" s="15">
        <f>SUM(F21:F25)</f>
        <v>572</v>
      </c>
      <c r="G26" s="15"/>
      <c r="H26" s="15">
        <f>SUM(H21:H25)</f>
        <v>1375816</v>
      </c>
    </row>
    <row r="27" spans="1:9">
      <c r="F27" s="4" t="s">
        <v>59</v>
      </c>
      <c r="G27" s="4"/>
      <c r="H27" s="6">
        <f>+H26/$F26</f>
        <v>2405.2727272727275</v>
      </c>
    </row>
    <row r="28" spans="1:9">
      <c r="F28" s="5"/>
      <c r="G28" s="5"/>
      <c r="H28" s="19"/>
    </row>
    <row r="29" spans="1:9">
      <c r="F29" s="5"/>
      <c r="G29" s="5"/>
      <c r="H29" s="19"/>
    </row>
    <row r="30" spans="1:9">
      <c r="A30" s="126" t="s">
        <v>81</v>
      </c>
      <c r="B30" s="127"/>
      <c r="C30" s="71"/>
      <c r="D30" s="57"/>
      <c r="E30" s="58"/>
      <c r="F30" s="59"/>
      <c r="G30" s="59"/>
      <c r="H30" s="59"/>
    </row>
    <row r="31" spans="1:9">
      <c r="B31" s="1" t="s">
        <v>40</v>
      </c>
      <c r="C31" s="1"/>
      <c r="D31" s="1"/>
      <c r="E31" s="7">
        <v>3.06</v>
      </c>
      <c r="F31" s="3">
        <v>100</v>
      </c>
      <c r="G31" s="11">
        <v>1169</v>
      </c>
      <c r="H31" s="10">
        <f>+F31*G31</f>
        <v>116900</v>
      </c>
      <c r="I31" s="17" t="s">
        <v>82</v>
      </c>
    </row>
    <row r="32" spans="1:9">
      <c r="B32" s="24" t="s">
        <v>139</v>
      </c>
      <c r="C32" s="12"/>
      <c r="D32" s="13"/>
      <c r="E32" s="14" t="s">
        <v>41</v>
      </c>
      <c r="F32" s="15">
        <f>SUM(F31)</f>
        <v>100</v>
      </c>
      <c r="G32" s="15"/>
      <c r="H32" s="15">
        <f>SUM(H31)</f>
        <v>116900</v>
      </c>
    </row>
    <row r="33" spans="1:9">
      <c r="F33" s="4" t="s">
        <v>59</v>
      </c>
      <c r="G33" s="4"/>
      <c r="H33" s="6">
        <f>+H32/$F32</f>
        <v>1169</v>
      </c>
    </row>
    <row r="34" spans="1:9">
      <c r="F34" s="5"/>
      <c r="G34" s="5"/>
      <c r="H34" s="5"/>
    </row>
    <row r="35" spans="1:9">
      <c r="A35" s="126" t="s">
        <v>4</v>
      </c>
      <c r="B35" s="127"/>
      <c r="C35" s="71"/>
      <c r="D35" s="57"/>
      <c r="E35" s="58"/>
      <c r="F35" s="59"/>
      <c r="G35" s="59"/>
      <c r="H35" s="59"/>
    </row>
    <row r="36" spans="1:9" ht="15">
      <c r="B36" s="16" t="s">
        <v>137</v>
      </c>
      <c r="C36" s="1"/>
      <c r="D36" s="1"/>
      <c r="E36" s="7">
        <v>2</v>
      </c>
      <c r="F36" s="3">
        <v>128</v>
      </c>
      <c r="G36" s="11">
        <v>1678</v>
      </c>
      <c r="H36" s="10">
        <f>+F36*G36</f>
        <v>214784</v>
      </c>
      <c r="I36" s="17" t="s">
        <v>178</v>
      </c>
    </row>
    <row r="37" spans="1:9">
      <c r="B37" s="24" t="s">
        <v>139</v>
      </c>
      <c r="C37" s="12"/>
      <c r="D37" s="13"/>
      <c r="E37" s="14" t="s">
        <v>41</v>
      </c>
      <c r="F37" s="15">
        <f>SUM(F36)</f>
        <v>128</v>
      </c>
      <c r="G37" s="15"/>
      <c r="H37" s="15">
        <f>SUM(H36)</f>
        <v>214784</v>
      </c>
    </row>
    <row r="38" spans="1:9">
      <c r="F38" s="4" t="s">
        <v>59</v>
      </c>
      <c r="G38" s="4"/>
      <c r="H38" s="6">
        <f>+H37/$F37</f>
        <v>1678</v>
      </c>
    </row>
    <row r="39" spans="1:9">
      <c r="F39" s="5"/>
      <c r="G39" s="5"/>
      <c r="H39" s="5"/>
    </row>
    <row r="40" spans="1:9">
      <c r="F40" s="5"/>
      <c r="G40" s="5"/>
      <c r="H40" s="19"/>
    </row>
    <row r="41" spans="1:9">
      <c r="A41" s="126" t="s">
        <v>45</v>
      </c>
      <c r="B41" s="127"/>
      <c r="C41" s="71"/>
      <c r="D41" s="57"/>
      <c r="E41" s="58"/>
      <c r="F41" s="59"/>
      <c r="G41" s="59"/>
      <c r="H41" s="59"/>
    </row>
    <row r="42" spans="1:9">
      <c r="B42" s="1" t="s">
        <v>68</v>
      </c>
      <c r="C42" s="1"/>
      <c r="D42" s="1"/>
      <c r="E42" s="7">
        <v>2.6</v>
      </c>
      <c r="F42" s="3">
        <v>128</v>
      </c>
      <c r="G42" s="11">
        <v>1787</v>
      </c>
      <c r="H42" s="10">
        <f>+F42*G42</f>
        <v>228736</v>
      </c>
    </row>
    <row r="43" spans="1:9">
      <c r="B43" s="1" t="s">
        <v>83</v>
      </c>
      <c r="C43" s="1"/>
      <c r="D43" s="1"/>
      <c r="E43" s="7">
        <v>2.6</v>
      </c>
      <c r="F43" s="3">
        <v>160</v>
      </c>
      <c r="G43" s="11">
        <v>1827</v>
      </c>
      <c r="H43" s="10">
        <f>+F43*G43</f>
        <v>292320</v>
      </c>
    </row>
    <row r="44" spans="1:9">
      <c r="B44" s="1" t="s">
        <v>51</v>
      </c>
      <c r="C44" s="1"/>
      <c r="D44" s="1"/>
      <c r="E44" s="7">
        <v>2</v>
      </c>
      <c r="F44" s="3">
        <v>320</v>
      </c>
      <c r="G44" s="11">
        <v>2097</v>
      </c>
      <c r="H44" s="10">
        <f>+F44*G44</f>
        <v>671040</v>
      </c>
    </row>
    <row r="45" spans="1:9">
      <c r="B45" s="1" t="s">
        <v>42</v>
      </c>
      <c r="C45" s="1"/>
      <c r="D45" s="1"/>
      <c r="E45" s="7">
        <v>2.83</v>
      </c>
      <c r="F45" s="3">
        <v>160</v>
      </c>
      <c r="G45" s="11">
        <v>3672</v>
      </c>
      <c r="H45" s="10">
        <f>+F45*G45</f>
        <v>587520</v>
      </c>
    </row>
    <row r="46" spans="1:9">
      <c r="B46" s="24" t="s">
        <v>139</v>
      </c>
      <c r="C46" s="12"/>
      <c r="D46" s="13"/>
      <c r="E46" s="14" t="s">
        <v>41</v>
      </c>
      <c r="F46" s="15">
        <f>SUM(F42:F45)</f>
        <v>768</v>
      </c>
      <c r="G46" s="15"/>
      <c r="H46" s="15">
        <f>SUM(H42:H45)</f>
        <v>1779616</v>
      </c>
      <c r="I46" s="17" t="s">
        <v>43</v>
      </c>
    </row>
    <row r="47" spans="1:9">
      <c r="F47" s="4" t="s">
        <v>59</v>
      </c>
      <c r="G47" s="4"/>
      <c r="H47" s="6">
        <f>+H46/$F46</f>
        <v>2317.2083333333335</v>
      </c>
    </row>
    <row r="48" spans="1:9">
      <c r="F48" s="5"/>
      <c r="G48" s="5"/>
      <c r="H48" s="19"/>
    </row>
    <row r="49" spans="1:9">
      <c r="A49" s="126" t="s">
        <v>44</v>
      </c>
      <c r="B49" s="127"/>
      <c r="C49" s="71"/>
      <c r="D49" s="57"/>
      <c r="E49" s="58"/>
      <c r="F49" s="59"/>
      <c r="G49" s="59"/>
      <c r="H49" s="59"/>
    </row>
    <row r="50" spans="1:9">
      <c r="A50" s="72"/>
      <c r="B50" s="1" t="s">
        <v>57</v>
      </c>
      <c r="C50" s="1"/>
      <c r="D50" s="1"/>
      <c r="E50" s="7">
        <v>2.6</v>
      </c>
      <c r="F50" s="3">
        <v>136</v>
      </c>
      <c r="G50" s="11">
        <v>1787</v>
      </c>
      <c r="H50" s="10">
        <f>+F50*G50</f>
        <v>243032</v>
      </c>
    </row>
    <row r="51" spans="1:9">
      <c r="B51" s="27" t="s">
        <v>176</v>
      </c>
      <c r="C51" s="1"/>
      <c r="E51" s="7">
        <v>2.6</v>
      </c>
      <c r="F51" s="3">
        <v>340</v>
      </c>
      <c r="G51" s="3">
        <v>1827</v>
      </c>
      <c r="H51" s="10">
        <f>+F51*G51</f>
        <v>621180</v>
      </c>
    </row>
    <row r="52" spans="1:9">
      <c r="B52" s="1" t="s">
        <v>51</v>
      </c>
      <c r="C52" s="1"/>
      <c r="D52" s="1"/>
      <c r="E52" s="7">
        <v>2</v>
      </c>
      <c r="F52" s="3">
        <v>520</v>
      </c>
      <c r="G52" s="11">
        <v>2097</v>
      </c>
      <c r="H52" s="10">
        <f>+F52*G52</f>
        <v>1090440</v>
      </c>
    </row>
    <row r="53" spans="1:9">
      <c r="B53" s="1" t="s">
        <v>42</v>
      </c>
      <c r="C53" s="1"/>
      <c r="D53" s="1"/>
      <c r="E53" s="7">
        <v>2.83</v>
      </c>
      <c r="F53" s="3">
        <v>192</v>
      </c>
      <c r="G53" s="11">
        <v>3672</v>
      </c>
      <c r="H53" s="10">
        <f>+F53*G53</f>
        <v>705024</v>
      </c>
    </row>
    <row r="54" spans="1:9">
      <c r="B54" s="24" t="s">
        <v>139</v>
      </c>
      <c r="C54" s="12"/>
      <c r="D54" s="13"/>
      <c r="E54" s="14" t="s">
        <v>41</v>
      </c>
      <c r="F54" s="15">
        <f>SUM(F50:F53)</f>
        <v>1188</v>
      </c>
      <c r="G54" s="15"/>
      <c r="H54" s="15">
        <f>SUM(H50:H53)</f>
        <v>2659676</v>
      </c>
      <c r="I54" s="17" t="s">
        <v>90</v>
      </c>
    </row>
    <row r="55" spans="1:9">
      <c r="F55" s="4" t="s">
        <v>59</v>
      </c>
      <c r="G55" s="4"/>
      <c r="H55" s="6">
        <f>+H54/$F54</f>
        <v>2238.7845117845118</v>
      </c>
    </row>
    <row r="56" spans="1:9">
      <c r="F56" s="5"/>
      <c r="G56" s="5"/>
      <c r="H56" s="19"/>
    </row>
    <row r="57" spans="1:9">
      <c r="A57" s="112" t="s">
        <v>46</v>
      </c>
      <c r="B57" s="112"/>
      <c r="C57" s="112"/>
      <c r="D57" s="112"/>
      <c r="E57" s="113"/>
      <c r="F57" s="110">
        <f>F46+F54+F37+F32</f>
        <v>2184</v>
      </c>
      <c r="G57" s="110"/>
      <c r="H57" s="111">
        <f>H46+H54+H37+H32</f>
        <v>4770976</v>
      </c>
    </row>
    <row r="58" spans="1:9">
      <c r="F58" s="5"/>
      <c r="G58" s="5"/>
      <c r="H58" s="19"/>
    </row>
    <row r="59" spans="1:9">
      <c r="B59" s="21"/>
      <c r="C59" s="21"/>
      <c r="D59" s="22"/>
      <c r="E59" s="23"/>
      <c r="F59" s="19"/>
      <c r="G59" s="19"/>
      <c r="H59" s="19"/>
    </row>
    <row r="60" spans="1:9">
      <c r="A60" s="126" t="s">
        <v>89</v>
      </c>
      <c r="B60" s="127"/>
      <c r="C60" s="71"/>
      <c r="D60" s="57"/>
      <c r="E60" s="58"/>
      <c r="F60" s="59"/>
      <c r="G60" s="59"/>
      <c r="H60" s="59"/>
    </row>
    <row r="61" spans="1:9">
      <c r="A61" s="72"/>
      <c r="B61" s="74" t="s">
        <v>5</v>
      </c>
      <c r="C61" s="75"/>
      <c r="D61" s="22"/>
      <c r="E61" s="30">
        <v>2.33</v>
      </c>
      <c r="F61" s="76">
        <v>184</v>
      </c>
      <c r="G61" s="76">
        <v>1889</v>
      </c>
      <c r="H61" s="10">
        <f>+F61*G61</f>
        <v>347576</v>
      </c>
    </row>
    <row r="62" spans="1:9">
      <c r="B62" s="73" t="s">
        <v>1</v>
      </c>
      <c r="C62" s="1"/>
      <c r="D62" s="1"/>
      <c r="E62" s="7">
        <v>3.2</v>
      </c>
      <c r="F62" s="3">
        <v>76</v>
      </c>
      <c r="G62" s="11">
        <v>1543</v>
      </c>
      <c r="H62" s="10">
        <f>+F62*G62</f>
        <v>117268</v>
      </c>
    </row>
    <row r="63" spans="1:9">
      <c r="B63" s="24" t="s">
        <v>139</v>
      </c>
      <c r="C63" s="12"/>
      <c r="D63" s="13"/>
      <c r="E63" s="14" t="s">
        <v>41</v>
      </c>
      <c r="F63" s="15">
        <f>SUM(F60:F62)</f>
        <v>260</v>
      </c>
      <c r="G63" s="15"/>
      <c r="H63" s="15">
        <f>SUM(H61:H62)</f>
        <v>464844</v>
      </c>
    </row>
    <row r="64" spans="1:9">
      <c r="F64" s="4" t="s">
        <v>59</v>
      </c>
      <c r="G64" s="4"/>
      <c r="H64" s="6">
        <f>+H63/$F63</f>
        <v>1787.8615384615384</v>
      </c>
    </row>
    <row r="65" spans="1:10">
      <c r="F65" s="5"/>
      <c r="G65" s="5"/>
      <c r="H65" s="5"/>
    </row>
    <row r="66" spans="1:10">
      <c r="A66" s="126" t="s">
        <v>34</v>
      </c>
      <c r="B66" s="127"/>
      <c r="C66" s="71"/>
      <c r="D66" s="57"/>
      <c r="E66" s="58"/>
      <c r="F66" s="59"/>
      <c r="G66" s="59"/>
      <c r="H66" s="59"/>
    </row>
    <row r="67" spans="1:10">
      <c r="B67" s="1" t="s">
        <v>1</v>
      </c>
      <c r="C67" s="1"/>
      <c r="D67" s="1"/>
      <c r="E67" s="7">
        <v>3.2</v>
      </c>
      <c r="F67" s="3">
        <v>4272</v>
      </c>
      <c r="G67" s="11">
        <v>3247</v>
      </c>
      <c r="H67" s="10">
        <f>+F67*G67</f>
        <v>13871184</v>
      </c>
    </row>
    <row r="68" spans="1:10">
      <c r="B68" s="24" t="s">
        <v>139</v>
      </c>
      <c r="C68" s="12"/>
      <c r="D68" s="13"/>
      <c r="E68" s="14" t="s">
        <v>41</v>
      </c>
      <c r="F68" s="15">
        <f>SUM(F67)</f>
        <v>4272</v>
      </c>
      <c r="G68" s="15"/>
      <c r="H68" s="15">
        <f>SUM(H67)</f>
        <v>13871184</v>
      </c>
      <c r="I68" s="17" t="s">
        <v>28</v>
      </c>
    </row>
    <row r="69" spans="1:10">
      <c r="F69" s="4" t="s">
        <v>59</v>
      </c>
      <c r="G69" s="4"/>
      <c r="H69" s="6">
        <f>+H68/$F68</f>
        <v>3247</v>
      </c>
    </row>
    <row r="70" spans="1:10">
      <c r="A70" s="22"/>
      <c r="B70" s="22"/>
      <c r="C70" s="22"/>
      <c r="D70" s="22"/>
      <c r="E70" s="30"/>
      <c r="F70" s="5"/>
      <c r="G70" s="5"/>
      <c r="H70" s="5"/>
    </row>
    <row r="71" spans="1:10">
      <c r="F71" s="5"/>
      <c r="G71" s="5"/>
      <c r="H71" s="19"/>
      <c r="I71" s="26"/>
      <c r="J71"/>
    </row>
    <row r="72" spans="1:10">
      <c r="A72" s="126" t="s">
        <v>106</v>
      </c>
      <c r="B72" s="127"/>
      <c r="C72" s="71"/>
      <c r="D72" s="58"/>
      <c r="E72" s="57"/>
      <c r="F72" s="57"/>
      <c r="G72" s="57"/>
      <c r="H72" s="57"/>
      <c r="J72"/>
    </row>
    <row r="73" spans="1:10">
      <c r="B73" t="s">
        <v>70</v>
      </c>
      <c r="C73" s="20" t="s">
        <v>72</v>
      </c>
      <c r="D73" s="1" t="s">
        <v>71</v>
      </c>
      <c r="E73">
        <v>1.8</v>
      </c>
      <c r="F73" s="3">
        <v>0</v>
      </c>
      <c r="G73" s="3">
        <v>1126</v>
      </c>
      <c r="H73" s="3">
        <f t="shared" ref="H73:H78" si="0">+F73*G73</f>
        <v>0</v>
      </c>
      <c r="J73"/>
    </row>
    <row r="74" spans="1:10">
      <c r="B74" t="s">
        <v>36</v>
      </c>
      <c r="C74" s="20" t="s">
        <v>73</v>
      </c>
      <c r="D74" s="1" t="s">
        <v>37</v>
      </c>
      <c r="E74">
        <v>1.9</v>
      </c>
      <c r="F74" s="3">
        <v>0</v>
      </c>
      <c r="G74" s="3">
        <v>1452</v>
      </c>
      <c r="H74" s="3">
        <f t="shared" si="0"/>
        <v>0</v>
      </c>
      <c r="J74"/>
    </row>
    <row r="75" spans="1:10">
      <c r="B75" t="s">
        <v>47</v>
      </c>
      <c r="C75" s="20" t="s">
        <v>74</v>
      </c>
      <c r="D75" s="1" t="s">
        <v>37</v>
      </c>
      <c r="E75">
        <v>2.2000000000000002</v>
      </c>
      <c r="F75" s="3">
        <v>0</v>
      </c>
      <c r="G75" s="3">
        <v>1521</v>
      </c>
      <c r="H75" s="3">
        <f t="shared" si="0"/>
        <v>0</v>
      </c>
      <c r="J75"/>
    </row>
    <row r="76" spans="1:10">
      <c r="B76" t="s">
        <v>75</v>
      </c>
      <c r="C76" s="20" t="s">
        <v>76</v>
      </c>
      <c r="D76" s="1" t="s">
        <v>50</v>
      </c>
      <c r="E76">
        <v>2.6</v>
      </c>
      <c r="F76" s="3">
        <v>540</v>
      </c>
      <c r="G76" s="3">
        <v>1827</v>
      </c>
      <c r="H76" s="3">
        <f>+F76*G76</f>
        <v>986580</v>
      </c>
      <c r="J76"/>
    </row>
    <row r="77" spans="1:10">
      <c r="B77" t="s">
        <v>75</v>
      </c>
      <c r="C77" s="20" t="s">
        <v>179</v>
      </c>
      <c r="D77" s="1" t="s">
        <v>50</v>
      </c>
      <c r="E77">
        <v>2.6</v>
      </c>
      <c r="F77" s="3">
        <v>288</v>
      </c>
      <c r="G77" s="3">
        <v>1827</v>
      </c>
      <c r="H77" s="3">
        <f>+F77*G77</f>
        <v>526176</v>
      </c>
      <c r="J77"/>
    </row>
    <row r="78" spans="1:10">
      <c r="B78" t="s">
        <v>173</v>
      </c>
      <c r="C78" s="20" t="s">
        <v>175</v>
      </c>
      <c r="D78" s="1" t="s">
        <v>174</v>
      </c>
      <c r="E78">
        <v>2.66</v>
      </c>
      <c r="F78" s="3">
        <v>1024</v>
      </c>
      <c r="G78" s="3">
        <v>2178</v>
      </c>
      <c r="H78" s="3">
        <f t="shared" si="0"/>
        <v>2230272</v>
      </c>
      <c r="J78"/>
    </row>
    <row r="79" spans="1:10">
      <c r="B79" s="24" t="s">
        <v>139</v>
      </c>
      <c r="C79" s="12"/>
      <c r="D79" s="13"/>
      <c r="E79" s="14" t="s">
        <v>41</v>
      </c>
      <c r="F79" s="15">
        <f>SUM(F73:F78)</f>
        <v>1852</v>
      </c>
      <c r="G79" s="15"/>
      <c r="H79" s="15">
        <f>SUM(H73:H78)</f>
        <v>3743028</v>
      </c>
      <c r="I79" s="84" t="s">
        <v>105</v>
      </c>
      <c r="J79"/>
    </row>
    <row r="80" spans="1:10">
      <c r="F80" s="4" t="s">
        <v>59</v>
      </c>
      <c r="G80" s="4"/>
      <c r="H80" s="6">
        <f>+H79/$F79</f>
        <v>2021.0734341252701</v>
      </c>
      <c r="I80" s="28"/>
      <c r="J80"/>
    </row>
    <row r="81" spans="1:10">
      <c r="F81" s="5"/>
      <c r="G81" s="5"/>
      <c r="H81" s="19"/>
      <c r="I81" s="26"/>
      <c r="J81"/>
    </row>
    <row r="82" spans="1:10">
      <c r="F82" s="5"/>
      <c r="G82" s="5"/>
      <c r="H82" s="5"/>
    </row>
    <row r="83" spans="1:10">
      <c r="A83" s="126" t="s">
        <v>141</v>
      </c>
      <c r="B83" s="127"/>
      <c r="C83" s="71"/>
      <c r="D83" s="57"/>
      <c r="E83" s="58"/>
      <c r="F83" s="59"/>
      <c r="G83" s="59"/>
      <c r="H83" s="59"/>
    </row>
    <row r="84" spans="1:10">
      <c r="A84" s="72"/>
      <c r="B84" s="74" t="s">
        <v>166</v>
      </c>
      <c r="C84" s="75"/>
      <c r="D84" s="22" t="s">
        <v>58</v>
      </c>
      <c r="E84" s="30">
        <v>3.4</v>
      </c>
      <c r="F84" s="76">
        <v>540</v>
      </c>
      <c r="G84" s="76">
        <v>1345</v>
      </c>
      <c r="H84" s="76">
        <f>PRODUCT(F84,G84)</f>
        <v>726300</v>
      </c>
    </row>
    <row r="85" spans="1:10">
      <c r="B85" s="1" t="s">
        <v>168</v>
      </c>
      <c r="C85" s="1"/>
      <c r="D85" s="1" t="s">
        <v>37</v>
      </c>
      <c r="E85" s="7">
        <v>1.8</v>
      </c>
      <c r="F85" s="3">
        <v>640</v>
      </c>
      <c r="G85" s="11">
        <v>1169</v>
      </c>
      <c r="H85" s="76">
        <f>PRODUCT(F85,G85)</f>
        <v>748160</v>
      </c>
    </row>
    <row r="86" spans="1:10">
      <c r="B86" s="1" t="s">
        <v>169</v>
      </c>
      <c r="C86" s="1"/>
      <c r="D86" s="1" t="s">
        <v>167</v>
      </c>
      <c r="E86" s="7">
        <v>2.6</v>
      </c>
      <c r="F86" s="3">
        <v>380</v>
      </c>
      <c r="G86" s="11">
        <v>2531</v>
      </c>
      <c r="H86" s="76">
        <f>PRODUCT(F86,G86)</f>
        <v>961780</v>
      </c>
    </row>
    <row r="87" spans="1:10">
      <c r="B87" s="1" t="s">
        <v>170</v>
      </c>
      <c r="C87" s="1"/>
      <c r="D87" s="1"/>
      <c r="E87" s="7">
        <v>2</v>
      </c>
      <c r="F87" s="3">
        <v>336</v>
      </c>
      <c r="G87" s="11">
        <v>1996</v>
      </c>
      <c r="H87" s="10">
        <f>PRODUCT(F87,G87)</f>
        <v>670656</v>
      </c>
    </row>
    <row r="88" spans="1:10">
      <c r="B88" s="1" t="s">
        <v>171</v>
      </c>
      <c r="C88" s="1"/>
      <c r="D88" s="1"/>
      <c r="E88" s="7">
        <v>2.6</v>
      </c>
      <c r="F88" s="3">
        <v>1104</v>
      </c>
      <c r="G88" s="11">
        <v>2730</v>
      </c>
      <c r="H88" s="10">
        <f>PRODUCT(F88,G88)</f>
        <v>3013920</v>
      </c>
    </row>
    <row r="89" spans="1:10">
      <c r="B89" s="24" t="s">
        <v>139</v>
      </c>
      <c r="C89" s="12"/>
      <c r="D89" s="13"/>
      <c r="E89" s="14" t="s">
        <v>41</v>
      </c>
      <c r="F89" s="15">
        <f>SUM(F84:F88)</f>
        <v>3000</v>
      </c>
      <c r="G89" s="15"/>
      <c r="H89" s="15">
        <f>SUM(H84:H88)</f>
        <v>6120816</v>
      </c>
    </row>
    <row r="90" spans="1:10">
      <c r="F90" s="4" t="s">
        <v>59</v>
      </c>
      <c r="G90" s="4"/>
      <c r="H90" s="6">
        <f>+H89/$F89</f>
        <v>2040.2719999999999</v>
      </c>
      <c r="I90" s="17" t="s">
        <v>140</v>
      </c>
    </row>
    <row r="91" spans="1:10">
      <c r="B91" s="25"/>
      <c r="C91" s="21"/>
      <c r="D91" s="22"/>
      <c r="E91" s="23"/>
      <c r="F91" s="19"/>
      <c r="G91" s="19"/>
      <c r="H91" s="19"/>
    </row>
    <row r="92" spans="1:10">
      <c r="F92" s="5"/>
      <c r="G92" s="5"/>
    </row>
    <row r="93" spans="1:10">
      <c r="A93" s="126" t="s">
        <v>102</v>
      </c>
      <c r="B93" s="127"/>
      <c r="C93" s="71"/>
      <c r="D93" s="57"/>
      <c r="E93" s="58"/>
      <c r="F93" s="59"/>
      <c r="G93" s="59"/>
      <c r="H93" s="59"/>
      <c r="I93" s="17" t="s">
        <v>103</v>
      </c>
    </row>
    <row r="94" spans="1:10">
      <c r="B94" s="1" t="s">
        <v>48</v>
      </c>
      <c r="C94" s="1"/>
      <c r="D94" s="1"/>
      <c r="E94" s="7">
        <v>2.4</v>
      </c>
      <c r="F94" s="3">
        <v>200</v>
      </c>
      <c r="G94" s="108">
        <v>1645</v>
      </c>
      <c r="H94" s="10">
        <f>+F94*G94</f>
        <v>329000</v>
      </c>
    </row>
    <row r="95" spans="1:10">
      <c r="B95" s="1" t="s">
        <v>104</v>
      </c>
      <c r="C95" s="1"/>
      <c r="D95" s="1"/>
      <c r="E95" s="7">
        <v>2.8</v>
      </c>
      <c r="F95" s="3">
        <v>536</v>
      </c>
      <c r="G95" s="108">
        <v>1967</v>
      </c>
      <c r="H95" s="10">
        <f>+F95*G95</f>
        <v>1054312</v>
      </c>
    </row>
    <row r="96" spans="1:10">
      <c r="B96" s="24" t="s">
        <v>139</v>
      </c>
      <c r="C96" s="12"/>
      <c r="D96" s="13"/>
      <c r="E96" s="14" t="s">
        <v>41</v>
      </c>
      <c r="F96" s="15">
        <f>SUM(F94:F95)</f>
        <v>736</v>
      </c>
      <c r="G96" s="15"/>
      <c r="H96" s="15">
        <f>SUM(H94:H95)</f>
        <v>1383312</v>
      </c>
    </row>
    <row r="97" spans="1:16">
      <c r="F97" s="4" t="s">
        <v>59</v>
      </c>
      <c r="G97" s="4"/>
      <c r="H97" s="6">
        <f>+H96/$F96</f>
        <v>1879.5</v>
      </c>
    </row>
    <row r="98" spans="1:16">
      <c r="F98" s="5"/>
      <c r="G98" s="5"/>
      <c r="H98" s="19"/>
    </row>
    <row r="99" spans="1:16">
      <c r="A99" s="126" t="s">
        <v>2</v>
      </c>
      <c r="B99" s="127"/>
      <c r="C99" s="71"/>
      <c r="D99" s="57"/>
      <c r="E99" s="58"/>
      <c r="F99" s="59"/>
      <c r="G99" s="59"/>
      <c r="H99" s="59"/>
    </row>
    <row r="100" spans="1:16">
      <c r="B100" s="1" t="s">
        <v>1</v>
      </c>
      <c r="C100" s="1"/>
      <c r="D100" s="1"/>
      <c r="E100" s="7">
        <v>3.2</v>
      </c>
      <c r="F100" s="3">
        <v>320</v>
      </c>
      <c r="G100" s="11">
        <v>1543</v>
      </c>
      <c r="H100" s="10">
        <f>+F100*G100</f>
        <v>493760</v>
      </c>
      <c r="I100" s="17" t="s">
        <v>177</v>
      </c>
    </row>
    <row r="101" spans="1:16">
      <c r="B101" s="1" t="s">
        <v>48</v>
      </c>
      <c r="C101" s="1"/>
      <c r="D101" s="1"/>
      <c r="E101" s="7">
        <v>2.4</v>
      </c>
      <c r="F101" s="3">
        <v>0</v>
      </c>
      <c r="G101" s="11">
        <v>1645</v>
      </c>
      <c r="H101" s="10">
        <f>+F101*G101</f>
        <v>0</v>
      </c>
    </row>
    <row r="102" spans="1:16">
      <c r="B102" s="24" t="s">
        <v>139</v>
      </c>
      <c r="C102" s="12"/>
      <c r="D102" s="13"/>
      <c r="E102" s="14" t="s">
        <v>41</v>
      </c>
      <c r="F102" s="15">
        <f>SUM(F100:F101)</f>
        <v>320</v>
      </c>
      <c r="G102" s="15"/>
      <c r="H102" s="15">
        <f>SUM(H100:H101)</f>
        <v>493760</v>
      </c>
    </row>
    <row r="103" spans="1:16">
      <c r="F103" s="4" t="s">
        <v>59</v>
      </c>
      <c r="G103" s="4"/>
      <c r="H103" s="6">
        <f>+H102/$F102</f>
        <v>1543</v>
      </c>
    </row>
    <row r="104" spans="1:16">
      <c r="F104" s="5"/>
      <c r="G104" s="5"/>
      <c r="H104" s="5"/>
    </row>
    <row r="106" spans="1:16" ht="17">
      <c r="C106" s="54" t="s">
        <v>63</v>
      </c>
      <c r="D106" s="55"/>
      <c r="E106" s="55"/>
      <c r="F106" s="56">
        <f>F102+F32+F96+F89+F79*0.33+F63+F54+F46+F37+F26+F10</f>
        <v>9335.16</v>
      </c>
      <c r="G106" s="56" t="s">
        <v>21</v>
      </c>
      <c r="H106" s="56">
        <f>H102+H96+H89+H79*0.33+H63+H54+H46+H37+H26+H10+H32</f>
        <v>20522591.240000002</v>
      </c>
      <c r="I106" s="29" t="s">
        <v>181</v>
      </c>
    </row>
    <row r="107" spans="1:16" ht="17">
      <c r="C107" s="54"/>
      <c r="D107" s="105"/>
      <c r="E107" s="58"/>
      <c r="F107" s="59"/>
      <c r="G107" s="59"/>
      <c r="H107" s="59"/>
      <c r="I107" s="17" t="s">
        <v>138</v>
      </c>
      <c r="J107" s="31" t="s">
        <v>49</v>
      </c>
    </row>
    <row r="108" spans="1:16" ht="17">
      <c r="B108" s="16"/>
      <c r="C108" s="54" t="s">
        <v>64</v>
      </c>
      <c r="D108" s="105"/>
      <c r="E108" s="58"/>
      <c r="F108" s="56">
        <f>F102+F96+F79*0.33+F63+F54+F46+F37+F26+F10+F32</f>
        <v>6335.16</v>
      </c>
      <c r="G108" s="56" t="s">
        <v>149</v>
      </c>
      <c r="H108" s="56">
        <f>H102+H96+H79*0.33+H63+H54+H46+H37+H26+H10+H32</f>
        <v>14401775.24</v>
      </c>
      <c r="J108" s="18"/>
      <c r="K108" s="124"/>
      <c r="L108" s="125"/>
      <c r="M108" s="125"/>
      <c r="N108" s="125"/>
      <c r="O108" s="125"/>
      <c r="P108" s="125"/>
    </row>
    <row r="109" spans="1:16" ht="15">
      <c r="B109" s="16"/>
      <c r="C109" s="16"/>
      <c r="D109" s="16"/>
    </row>
    <row r="110" spans="1:16" ht="13" thickBot="1"/>
    <row r="111" spans="1:16">
      <c r="A111" s="117" t="s">
        <v>157</v>
      </c>
      <c r="B111" s="118" t="s">
        <v>156</v>
      </c>
    </row>
    <row r="112" spans="1:16">
      <c r="A112" s="119" t="s">
        <v>150</v>
      </c>
      <c r="B112" s="120">
        <f>F89</f>
        <v>3000</v>
      </c>
    </row>
    <row r="113" spans="1:10">
      <c r="A113" s="119" t="s">
        <v>151</v>
      </c>
      <c r="B113" s="120">
        <f>F26</f>
        <v>572</v>
      </c>
      <c r="E113"/>
      <c r="F113"/>
      <c r="G113"/>
      <c r="H113"/>
      <c r="I113"/>
      <c r="J113"/>
    </row>
    <row r="114" spans="1:10">
      <c r="A114" s="119" t="s">
        <v>152</v>
      </c>
      <c r="B114" s="120">
        <f>F102+F96+F63</f>
        <v>1316</v>
      </c>
      <c r="E114"/>
      <c r="F114"/>
      <c r="G114"/>
      <c r="H114"/>
      <c r="I114"/>
      <c r="J114"/>
    </row>
    <row r="115" spans="1:10">
      <c r="A115" s="119" t="s">
        <v>153</v>
      </c>
      <c r="B115" s="120">
        <f>F57</f>
        <v>2184</v>
      </c>
      <c r="E115"/>
      <c r="F115"/>
      <c r="G115"/>
      <c r="H115"/>
      <c r="I115"/>
      <c r="J115"/>
    </row>
    <row r="116" spans="1:10">
      <c r="A116" s="119" t="s">
        <v>154</v>
      </c>
      <c r="B116" s="120">
        <f>F10</f>
        <v>1652</v>
      </c>
      <c r="E116"/>
      <c r="F116"/>
      <c r="G116"/>
      <c r="H116"/>
      <c r="I116"/>
      <c r="J116"/>
    </row>
    <row r="117" spans="1:10">
      <c r="A117" s="119" t="s">
        <v>155</v>
      </c>
      <c r="B117" s="121">
        <f>F79*0.33</f>
        <v>611.16000000000008</v>
      </c>
      <c r="E117"/>
      <c r="F117"/>
      <c r="G117"/>
      <c r="H117"/>
      <c r="I117"/>
      <c r="J117"/>
    </row>
    <row r="118" spans="1:10">
      <c r="A118" s="119" t="s">
        <v>136</v>
      </c>
      <c r="B118" s="120">
        <f>SUM(B112:B117)</f>
        <v>9335.16</v>
      </c>
      <c r="E118"/>
      <c r="F118"/>
      <c r="G118"/>
      <c r="H118"/>
      <c r="I118"/>
      <c r="J118"/>
    </row>
    <row r="119" spans="1:10" ht="13" thickBot="1">
      <c r="A119" s="122" t="s">
        <v>135</v>
      </c>
      <c r="B119" s="123">
        <f>SUM(B113:B117)</f>
        <v>6335.16</v>
      </c>
      <c r="E119"/>
      <c r="F119"/>
      <c r="G119"/>
      <c r="H119"/>
      <c r="I119"/>
      <c r="J119"/>
    </row>
    <row r="122" spans="1:10" ht="17"/>
    <row r="123" spans="1:10" ht="17"/>
    <row r="124" spans="1:10" ht="17"/>
    <row r="125" spans="1:10" ht="15"/>
  </sheetData>
  <mergeCells count="16">
    <mergeCell ref="G3:H3"/>
    <mergeCell ref="C3:C4"/>
    <mergeCell ref="A66:B66"/>
    <mergeCell ref="A35:B35"/>
    <mergeCell ref="A41:B41"/>
    <mergeCell ref="A49:B49"/>
    <mergeCell ref="A14:B14"/>
    <mergeCell ref="A30:B30"/>
    <mergeCell ref="A20:B20"/>
    <mergeCell ref="K108:P108"/>
    <mergeCell ref="A6:B6"/>
    <mergeCell ref="A60:B60"/>
    <mergeCell ref="A99:B99"/>
    <mergeCell ref="A93:B93"/>
    <mergeCell ref="A83:B83"/>
    <mergeCell ref="A72:B72"/>
  </mergeCells>
  <phoneticPr fontId="4" type="noConversion"/>
  <pageMargins left="0.75" right="0.75" top="1" bottom="1" header="0.5" footer="0.5"/>
  <pageSetup paperSize="0" orientation="portrait" horizontalDpi="4294967292" verticalDpi="4294967292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P121"/>
  <sheetViews>
    <sheetView workbookViewId="0">
      <pane ySplit="4" topLeftCell="A5" activePane="bottomLeft" state="frozen"/>
      <selection pane="bottomLeft" activeCell="H1" sqref="H1"/>
    </sheetView>
  </sheetViews>
  <sheetFormatPr baseColWidth="10" defaultColWidth="8.83203125" defaultRowHeight="12"/>
  <cols>
    <col min="1" max="1" width="11.83203125" customWidth="1"/>
    <col min="2" max="2" width="38.83203125" customWidth="1"/>
    <col min="3" max="3" width="11.33203125" customWidth="1"/>
    <col min="4" max="4" width="11.5" customWidth="1"/>
    <col min="5" max="5" width="6" style="7" customWidth="1"/>
    <col min="6" max="6" width="13.83203125" style="3" customWidth="1"/>
    <col min="7" max="7" width="9" style="3" customWidth="1"/>
    <col min="8" max="8" width="14.83203125" style="3" customWidth="1"/>
    <col min="9" max="9" width="7.1640625" style="17" customWidth="1"/>
    <col min="10" max="10" width="9.1640625" style="9" customWidth="1"/>
  </cols>
  <sheetData>
    <row r="1" spans="1:10" ht="18">
      <c r="A1" s="77" t="s">
        <v>22</v>
      </c>
      <c r="B1" s="77"/>
      <c r="C1" s="78" t="s">
        <v>66</v>
      </c>
      <c r="D1" s="78">
        <v>39709</v>
      </c>
    </row>
    <row r="2" spans="1:10" ht="19" thickBot="1">
      <c r="A2" s="77"/>
      <c r="B2" s="61"/>
    </row>
    <row r="3" spans="1:10" s="2" customFormat="1" ht="15">
      <c r="A3" s="62" t="s">
        <v>79</v>
      </c>
      <c r="B3" s="63" t="s">
        <v>182</v>
      </c>
      <c r="C3" s="130" t="s">
        <v>77</v>
      </c>
      <c r="D3" s="63" t="s">
        <v>183</v>
      </c>
      <c r="E3" s="64" t="s">
        <v>184</v>
      </c>
      <c r="F3" s="109" t="s">
        <v>185</v>
      </c>
      <c r="G3" s="128" t="s">
        <v>35</v>
      </c>
      <c r="H3" s="129"/>
      <c r="J3" s="8"/>
    </row>
    <row r="4" spans="1:10" s="2" customFormat="1" ht="16" thickBot="1">
      <c r="A4" s="66"/>
      <c r="B4" s="67"/>
      <c r="C4" s="131"/>
      <c r="D4" s="67"/>
      <c r="E4" s="68"/>
      <c r="F4" s="69"/>
      <c r="G4" s="69" t="s">
        <v>60</v>
      </c>
      <c r="H4" s="70" t="s">
        <v>61</v>
      </c>
      <c r="J4" s="8"/>
    </row>
    <row r="5" spans="1:10">
      <c r="H5" s="5"/>
    </row>
    <row r="6" spans="1:10">
      <c r="A6" s="126" t="s">
        <v>78</v>
      </c>
      <c r="B6" s="127"/>
      <c r="C6" s="71"/>
      <c r="D6" s="57"/>
      <c r="E6" s="58"/>
      <c r="F6" s="59"/>
      <c r="G6" s="59"/>
      <c r="H6" s="59"/>
    </row>
    <row r="7" spans="1:10">
      <c r="B7" s="1" t="s">
        <v>62</v>
      </c>
      <c r="C7" s="1"/>
      <c r="E7" s="7">
        <v>2.66</v>
      </c>
      <c r="F7" s="3">
        <v>900</v>
      </c>
      <c r="G7" s="11">
        <v>2178</v>
      </c>
      <c r="H7" s="10">
        <f>+F7*G7</f>
        <v>1960200</v>
      </c>
      <c r="I7" s="17" t="s">
        <v>69</v>
      </c>
    </row>
    <row r="8" spans="1:10">
      <c r="B8" s="1" t="s">
        <v>68</v>
      </c>
      <c r="C8" s="1"/>
      <c r="E8" s="7">
        <v>2.6</v>
      </c>
      <c r="F8" s="3">
        <v>24</v>
      </c>
      <c r="G8" s="11">
        <v>1787</v>
      </c>
      <c r="H8" s="10">
        <f>+F8*G8</f>
        <v>42888</v>
      </c>
      <c r="I8" s="17" t="s">
        <v>180</v>
      </c>
    </row>
    <row r="9" spans="1:10">
      <c r="B9" s="24" t="s">
        <v>139</v>
      </c>
      <c r="C9" s="12"/>
      <c r="D9" s="13"/>
      <c r="E9" s="14" t="s">
        <v>41</v>
      </c>
      <c r="F9" s="15">
        <f>SUM(F7:F8)</f>
        <v>924</v>
      </c>
      <c r="G9" s="15"/>
      <c r="H9" s="15">
        <f>SUM(H7:H8)</f>
        <v>2003088</v>
      </c>
    </row>
    <row r="10" spans="1:10">
      <c r="F10" s="4" t="s">
        <v>59</v>
      </c>
      <c r="G10" s="4"/>
      <c r="H10" s="6">
        <f>+H9/$F9</f>
        <v>2167.8441558441559</v>
      </c>
    </row>
    <row r="11" spans="1:10">
      <c r="F11" s="5"/>
      <c r="G11" s="5"/>
      <c r="H11" s="19"/>
    </row>
    <row r="12" spans="1:10">
      <c r="A12" s="126" t="s">
        <v>87</v>
      </c>
      <c r="B12" s="127"/>
      <c r="C12" s="71"/>
      <c r="D12" s="57"/>
      <c r="E12" s="58"/>
      <c r="F12" s="59"/>
      <c r="G12" s="59"/>
      <c r="H12" s="59"/>
    </row>
    <row r="13" spans="1:10">
      <c r="B13" s="1" t="s">
        <v>80</v>
      </c>
      <c r="C13" s="1"/>
      <c r="D13" s="1"/>
      <c r="E13" s="7">
        <v>2.8</v>
      </c>
      <c r="F13" s="3">
        <v>0</v>
      </c>
      <c r="G13" s="11">
        <v>1123</v>
      </c>
      <c r="H13" s="10">
        <f>+F13*G13</f>
        <v>0</v>
      </c>
    </row>
    <row r="14" spans="1:10">
      <c r="B14" s="24" t="s">
        <v>139</v>
      </c>
      <c r="C14" s="12"/>
      <c r="D14" s="13"/>
      <c r="E14" s="14" t="s">
        <v>41</v>
      </c>
      <c r="F14" s="15">
        <v>0</v>
      </c>
      <c r="G14" s="15"/>
      <c r="H14" s="15">
        <f>SUM(H13:H13)</f>
        <v>0</v>
      </c>
    </row>
    <row r="15" spans="1:10">
      <c r="F15" s="4" t="s">
        <v>59</v>
      </c>
      <c r="G15" s="4"/>
      <c r="H15" s="6">
        <v>0</v>
      </c>
    </row>
    <row r="16" spans="1:10">
      <c r="A16" s="20"/>
      <c r="F16" s="5"/>
      <c r="G16" s="5"/>
      <c r="H16" s="19"/>
    </row>
    <row r="17" spans="1:9">
      <c r="A17" s="126" t="s">
        <v>18</v>
      </c>
      <c r="B17" s="127"/>
      <c r="C17" s="71"/>
      <c r="D17" s="57"/>
      <c r="E17" s="58"/>
      <c r="F17" s="59"/>
      <c r="G17" s="59"/>
      <c r="H17" s="59"/>
    </row>
    <row r="18" spans="1:9">
      <c r="B18" t="s">
        <v>47</v>
      </c>
      <c r="C18" s="20"/>
      <c r="D18" s="1"/>
      <c r="E18">
        <v>2.2000000000000002</v>
      </c>
      <c r="F18" s="3">
        <v>56</v>
      </c>
      <c r="G18" s="3">
        <v>1521</v>
      </c>
      <c r="H18" s="10">
        <f>+F18*G18</f>
        <v>85176</v>
      </c>
    </row>
    <row r="19" spans="1:9">
      <c r="B19" s="1" t="s">
        <v>48</v>
      </c>
      <c r="C19" s="1"/>
      <c r="D19" s="1"/>
      <c r="E19" s="7">
        <v>2.4</v>
      </c>
      <c r="F19" s="3">
        <v>276</v>
      </c>
      <c r="G19" s="11">
        <v>1645</v>
      </c>
      <c r="H19" s="10">
        <f>+F19*G19</f>
        <v>454020</v>
      </c>
    </row>
    <row r="20" spans="1:9">
      <c r="B20" s="1" t="s">
        <v>16</v>
      </c>
      <c r="C20" s="1"/>
      <c r="D20" s="1"/>
      <c r="E20" s="7">
        <v>2.66</v>
      </c>
      <c r="F20" s="3">
        <v>128</v>
      </c>
      <c r="G20" s="11">
        <v>2830</v>
      </c>
      <c r="H20" s="10">
        <v>362240</v>
      </c>
    </row>
    <row r="21" spans="1:9">
      <c r="B21" s="1" t="s">
        <v>17</v>
      </c>
      <c r="C21" s="1"/>
      <c r="D21" s="1"/>
      <c r="E21" s="7">
        <v>2.93</v>
      </c>
      <c r="F21" s="3">
        <v>32</v>
      </c>
      <c r="G21" s="11">
        <v>4051</v>
      </c>
      <c r="H21" s="10">
        <v>129632</v>
      </c>
    </row>
    <row r="22" spans="1:9">
      <c r="B22" s="24" t="s">
        <v>139</v>
      </c>
      <c r="C22" s="12"/>
      <c r="D22" s="13"/>
      <c r="E22" s="14" t="s">
        <v>41</v>
      </c>
      <c r="F22" s="15">
        <f>SUM(F18:F21)</f>
        <v>492</v>
      </c>
      <c r="G22" s="15"/>
      <c r="H22" s="15">
        <f>SUM(H18:H21)</f>
        <v>1031068</v>
      </c>
    </row>
    <row r="23" spans="1:9">
      <c r="F23" s="4" t="s">
        <v>59</v>
      </c>
      <c r="G23" s="4"/>
      <c r="H23" s="6">
        <f>+H22/$F22</f>
        <v>2095.6666666666665</v>
      </c>
    </row>
    <row r="24" spans="1:9">
      <c r="F24" s="5"/>
      <c r="G24" s="5"/>
      <c r="H24" s="19"/>
    </row>
    <row r="25" spans="1:9">
      <c r="A25" s="126" t="s">
        <v>3</v>
      </c>
      <c r="B25" s="127"/>
      <c r="C25" s="71"/>
      <c r="D25" s="57"/>
      <c r="E25" s="58"/>
      <c r="F25" s="59"/>
      <c r="G25" s="59"/>
      <c r="H25" s="59"/>
    </row>
    <row r="26" spans="1:9">
      <c r="B26" s="1" t="s">
        <v>39</v>
      </c>
      <c r="C26" s="1"/>
      <c r="D26" s="1"/>
      <c r="E26" s="7">
        <v>2.4</v>
      </c>
      <c r="F26" s="3">
        <v>64</v>
      </c>
      <c r="G26" s="11">
        <v>921</v>
      </c>
      <c r="H26" s="10">
        <f>+F26*G26</f>
        <v>58944</v>
      </c>
    </row>
    <row r="27" spans="1:9">
      <c r="B27" s="24" t="s">
        <v>139</v>
      </c>
      <c r="C27" s="12"/>
      <c r="D27" s="13"/>
      <c r="E27" s="14" t="s">
        <v>41</v>
      </c>
      <c r="F27" s="15">
        <f>SUM(F25:F26)</f>
        <v>64</v>
      </c>
      <c r="G27" s="15"/>
      <c r="H27" s="15">
        <f>SUM(H26)</f>
        <v>58944</v>
      </c>
      <c r="I27" s="17" t="s">
        <v>6</v>
      </c>
    </row>
    <row r="28" spans="1:9">
      <c r="F28" s="4" t="s">
        <v>59</v>
      </c>
      <c r="G28" s="4"/>
      <c r="H28" s="6">
        <f>+H27/$F27</f>
        <v>921</v>
      </c>
    </row>
    <row r="29" spans="1:9">
      <c r="F29" s="5"/>
      <c r="G29" s="5"/>
      <c r="H29" s="5"/>
    </row>
    <row r="30" spans="1:9">
      <c r="A30" s="126" t="s">
        <v>4</v>
      </c>
      <c r="B30" s="127"/>
      <c r="C30" s="71"/>
      <c r="D30" s="57"/>
      <c r="E30" s="58"/>
      <c r="F30" s="59"/>
      <c r="G30" s="59"/>
      <c r="H30" s="59"/>
    </row>
    <row r="31" spans="1:9" ht="15">
      <c r="B31" s="16" t="s">
        <v>137</v>
      </c>
      <c r="C31" s="1"/>
      <c r="D31" s="1"/>
      <c r="E31" s="7">
        <v>2</v>
      </c>
      <c r="F31" s="3">
        <v>128</v>
      </c>
      <c r="G31" s="11">
        <v>1678</v>
      </c>
      <c r="H31" s="10">
        <f>+F31*G31</f>
        <v>214784</v>
      </c>
      <c r="I31" s="17" t="s">
        <v>178</v>
      </c>
    </row>
    <row r="32" spans="1:9">
      <c r="B32" s="24" t="s">
        <v>139</v>
      </c>
      <c r="C32" s="12"/>
      <c r="D32" s="13"/>
      <c r="E32" s="14" t="s">
        <v>41</v>
      </c>
      <c r="F32" s="15">
        <f>SUM(F31)</f>
        <v>128</v>
      </c>
      <c r="G32" s="15"/>
      <c r="H32" s="15">
        <f>SUM(H31)</f>
        <v>214784</v>
      </c>
    </row>
    <row r="33" spans="1:9">
      <c r="F33" s="4" t="s">
        <v>59</v>
      </c>
      <c r="G33" s="4"/>
      <c r="H33" s="6">
        <f>+H32/$F32</f>
        <v>1678</v>
      </c>
    </row>
    <row r="34" spans="1:9">
      <c r="F34" s="5"/>
      <c r="G34" s="5"/>
      <c r="H34" s="5"/>
    </row>
    <row r="35" spans="1:9">
      <c r="F35" s="5"/>
      <c r="G35" s="5"/>
      <c r="H35" s="19"/>
    </row>
    <row r="36" spans="1:9">
      <c r="A36" s="126" t="s">
        <v>84</v>
      </c>
      <c r="B36" s="127"/>
      <c r="C36" s="71"/>
      <c r="D36" s="57"/>
      <c r="E36" s="58"/>
      <c r="F36" s="59"/>
      <c r="G36" s="59"/>
      <c r="H36" s="59"/>
    </row>
    <row r="37" spans="1:9">
      <c r="B37" s="1" t="s">
        <v>68</v>
      </c>
      <c r="C37" s="1"/>
      <c r="D37" s="1"/>
      <c r="E37" s="7">
        <v>2.6</v>
      </c>
      <c r="F37" s="3">
        <v>128</v>
      </c>
      <c r="G37" s="11">
        <v>1787</v>
      </c>
      <c r="H37" s="10">
        <f>+F37*G37</f>
        <v>228736</v>
      </c>
    </row>
    <row r="38" spans="1:9">
      <c r="B38" s="1" t="s">
        <v>83</v>
      </c>
      <c r="C38" s="1"/>
      <c r="D38" s="1"/>
      <c r="E38" s="7">
        <v>2.6</v>
      </c>
      <c r="F38" s="3">
        <v>160</v>
      </c>
      <c r="G38" s="11">
        <v>1827</v>
      </c>
      <c r="H38" s="10">
        <f>+F38*G38</f>
        <v>292320</v>
      </c>
    </row>
    <row r="39" spans="1:9">
      <c r="B39" s="1" t="s">
        <v>51</v>
      </c>
      <c r="C39" s="1"/>
      <c r="D39" s="1"/>
      <c r="E39" s="7">
        <v>2</v>
      </c>
      <c r="F39" s="3">
        <v>320</v>
      </c>
      <c r="G39" s="11">
        <v>2097</v>
      </c>
      <c r="H39" s="10">
        <f>+F39*G39</f>
        <v>671040</v>
      </c>
    </row>
    <row r="40" spans="1:9">
      <c r="B40" s="24" t="s">
        <v>139</v>
      </c>
      <c r="C40" s="12"/>
      <c r="D40" s="13"/>
      <c r="E40" s="14" t="s">
        <v>41</v>
      </c>
      <c r="F40" s="15">
        <f>SUM(F37:F39)</f>
        <v>608</v>
      </c>
      <c r="G40" s="15"/>
      <c r="H40" s="15">
        <f>SUM(H37:H39)</f>
        <v>1192096</v>
      </c>
      <c r="I40" s="17" t="s">
        <v>56</v>
      </c>
    </row>
    <row r="41" spans="1:9">
      <c r="F41" s="4" t="s">
        <v>59</v>
      </c>
      <c r="G41" s="4"/>
      <c r="H41" s="6">
        <f>+H40/$F40</f>
        <v>1960.6842105263158</v>
      </c>
    </row>
    <row r="42" spans="1:9">
      <c r="F42" s="5"/>
      <c r="G42" s="5"/>
      <c r="H42" s="19"/>
    </row>
    <row r="43" spans="1:9">
      <c r="A43" s="126" t="s">
        <v>85</v>
      </c>
      <c r="B43" s="127"/>
      <c r="C43" s="71"/>
      <c r="D43" s="57"/>
      <c r="E43" s="58"/>
      <c r="F43" s="59"/>
      <c r="G43" s="59"/>
      <c r="H43" s="59"/>
    </row>
    <row r="44" spans="1:9">
      <c r="A44" s="72"/>
      <c r="B44" s="1" t="s">
        <v>57</v>
      </c>
      <c r="C44" s="1"/>
      <c r="D44" s="1"/>
      <c r="E44" s="7">
        <v>2.6</v>
      </c>
      <c r="F44" s="3">
        <v>136</v>
      </c>
      <c r="G44" s="11">
        <v>1787</v>
      </c>
      <c r="H44" s="10">
        <f>+F44*G44</f>
        <v>243032</v>
      </c>
    </row>
    <row r="45" spans="1:9">
      <c r="B45" s="27" t="s">
        <v>176</v>
      </c>
      <c r="C45" s="1"/>
      <c r="E45" s="7">
        <v>2.6</v>
      </c>
      <c r="F45" s="3">
        <v>340</v>
      </c>
      <c r="G45" s="3">
        <v>1827</v>
      </c>
      <c r="H45" s="10">
        <f>+F45*G45</f>
        <v>621180</v>
      </c>
    </row>
    <row r="46" spans="1:9">
      <c r="B46" s="1" t="s">
        <v>51</v>
      </c>
      <c r="C46" s="1"/>
      <c r="D46" s="1"/>
      <c r="E46" s="7">
        <v>2</v>
      </c>
      <c r="F46" s="3">
        <v>520</v>
      </c>
      <c r="G46" s="11">
        <v>2097</v>
      </c>
      <c r="H46" s="10">
        <f>+F46*G46</f>
        <v>1090440</v>
      </c>
    </row>
    <row r="47" spans="1:9">
      <c r="B47" s="24" t="s">
        <v>139</v>
      </c>
      <c r="C47" s="12"/>
      <c r="D47" s="13"/>
      <c r="E47" s="14" t="s">
        <v>41</v>
      </c>
      <c r="F47" s="15">
        <f>SUM(F44:F46)</f>
        <v>996</v>
      </c>
      <c r="G47" s="15"/>
      <c r="H47" s="15">
        <f>SUM(H44:H46)</f>
        <v>1954652</v>
      </c>
      <c r="I47" s="17" t="s">
        <v>56</v>
      </c>
    </row>
    <row r="48" spans="1:9">
      <c r="F48" s="4" t="s">
        <v>59</v>
      </c>
      <c r="G48" s="4"/>
      <c r="H48" s="6">
        <f>+H47/$F47</f>
        <v>1962.5020080321285</v>
      </c>
    </row>
    <row r="49" spans="1:10">
      <c r="F49" s="5"/>
      <c r="G49" s="5"/>
      <c r="H49" s="19"/>
    </row>
    <row r="50" spans="1:10">
      <c r="B50" s="21"/>
      <c r="C50" s="21"/>
      <c r="D50" s="22"/>
      <c r="E50" s="23"/>
      <c r="F50" s="19"/>
      <c r="G50" s="19"/>
      <c r="H50" s="19"/>
    </row>
    <row r="51" spans="1:10">
      <c r="A51" s="126" t="s">
        <v>89</v>
      </c>
      <c r="B51" s="127"/>
      <c r="C51" s="71"/>
      <c r="D51" s="57"/>
      <c r="E51" s="58"/>
      <c r="F51" s="59"/>
      <c r="G51" s="59"/>
      <c r="H51" s="59"/>
    </row>
    <row r="52" spans="1:10">
      <c r="A52" s="72"/>
      <c r="B52" s="74" t="s">
        <v>5</v>
      </c>
      <c r="C52" s="75"/>
      <c r="D52" s="22"/>
      <c r="E52" s="30">
        <v>2.33</v>
      </c>
      <c r="F52" s="76">
        <v>184</v>
      </c>
      <c r="G52" s="76">
        <v>1889</v>
      </c>
      <c r="H52" s="10">
        <f>+F52*G52</f>
        <v>347576</v>
      </c>
    </row>
    <row r="53" spans="1:10">
      <c r="B53" s="73" t="s">
        <v>1</v>
      </c>
      <c r="C53" s="1"/>
      <c r="D53" s="1"/>
      <c r="E53" s="7">
        <v>3.2</v>
      </c>
      <c r="F53" s="3">
        <v>76</v>
      </c>
      <c r="G53" s="11">
        <v>1543</v>
      </c>
      <c r="H53" s="10">
        <f>+F53*G53</f>
        <v>117268</v>
      </c>
    </row>
    <row r="54" spans="1:10">
      <c r="B54" s="24" t="s">
        <v>139</v>
      </c>
      <c r="C54" s="12"/>
      <c r="D54" s="13"/>
      <c r="E54" s="14" t="s">
        <v>41</v>
      </c>
      <c r="F54" s="15">
        <f>SUM(F51:F53)</f>
        <v>260</v>
      </c>
      <c r="G54" s="15"/>
      <c r="H54" s="15">
        <f>SUM(H52:H53)</f>
        <v>464844</v>
      </c>
    </row>
    <row r="55" spans="1:10">
      <c r="F55" s="4" t="s">
        <v>59</v>
      </c>
      <c r="G55" s="4"/>
      <c r="H55" s="6">
        <f>+H54/$F54</f>
        <v>1787.8615384615384</v>
      </c>
    </row>
    <row r="56" spans="1:10">
      <c r="F56" s="5"/>
      <c r="G56" s="5"/>
      <c r="H56" s="5"/>
    </row>
    <row r="57" spans="1:10">
      <c r="A57" s="126" t="s">
        <v>0</v>
      </c>
      <c r="B57" s="127"/>
      <c r="C57" s="71"/>
      <c r="D57" s="57"/>
      <c r="E57" s="58"/>
      <c r="F57" s="59"/>
      <c r="G57" s="59"/>
      <c r="H57" s="59"/>
    </row>
    <row r="58" spans="1:10">
      <c r="B58" s="1" t="s">
        <v>1</v>
      </c>
      <c r="C58" s="1"/>
      <c r="D58" s="1"/>
      <c r="E58" s="7">
        <v>3.2</v>
      </c>
      <c r="F58" s="3">
        <v>1024</v>
      </c>
      <c r="G58" s="11">
        <v>1543</v>
      </c>
      <c r="H58" s="10">
        <f>+F58*G58</f>
        <v>1580032</v>
      </c>
    </row>
    <row r="59" spans="1:10">
      <c r="B59" s="24" t="s">
        <v>139</v>
      </c>
      <c r="C59" s="12"/>
      <c r="D59" s="13"/>
      <c r="E59" s="14" t="s">
        <v>41</v>
      </c>
      <c r="F59" s="15">
        <f>SUM(F58)</f>
        <v>1024</v>
      </c>
      <c r="G59" s="15"/>
      <c r="H59" s="15">
        <f>SUM(H58)</f>
        <v>1580032</v>
      </c>
    </row>
    <row r="60" spans="1:10">
      <c r="F60" s="4" t="s">
        <v>59</v>
      </c>
      <c r="G60" s="4"/>
      <c r="H60" s="6">
        <f>+H59/$F59</f>
        <v>1543</v>
      </c>
    </row>
    <row r="61" spans="1:10">
      <c r="A61" s="22"/>
      <c r="B61" s="22"/>
      <c r="C61" s="22"/>
      <c r="D61" s="22"/>
      <c r="E61" s="30"/>
      <c r="F61" s="5"/>
      <c r="G61" s="5"/>
      <c r="H61" s="5"/>
    </row>
    <row r="62" spans="1:10">
      <c r="F62" s="5"/>
      <c r="G62" s="5"/>
      <c r="H62" s="19"/>
      <c r="I62" s="26"/>
      <c r="J62"/>
    </row>
    <row r="63" spans="1:10">
      <c r="A63" s="126" t="s">
        <v>106</v>
      </c>
      <c r="B63" s="127"/>
      <c r="C63" s="71"/>
      <c r="D63" s="58"/>
      <c r="E63" s="57"/>
      <c r="F63" s="57"/>
      <c r="G63" s="57"/>
      <c r="H63" s="57"/>
      <c r="J63"/>
    </row>
    <row r="64" spans="1:10">
      <c r="B64" t="s">
        <v>70</v>
      </c>
      <c r="C64" s="20" t="s">
        <v>72</v>
      </c>
      <c r="D64" s="1" t="s">
        <v>71</v>
      </c>
      <c r="E64">
        <v>1.8</v>
      </c>
      <c r="F64" s="3">
        <v>0</v>
      </c>
      <c r="G64" s="3">
        <v>1126</v>
      </c>
      <c r="H64" s="3">
        <f t="shared" ref="H64:H69" si="0">+F64*G64</f>
        <v>0</v>
      </c>
      <c r="J64"/>
    </row>
    <row r="65" spans="1:10">
      <c r="B65" t="s">
        <v>36</v>
      </c>
      <c r="C65" s="20" t="s">
        <v>73</v>
      </c>
      <c r="D65" s="1" t="s">
        <v>37</v>
      </c>
      <c r="E65">
        <v>1.9</v>
      </c>
      <c r="F65" s="3">
        <v>0</v>
      </c>
      <c r="G65" s="3">
        <v>1452</v>
      </c>
      <c r="H65" s="3">
        <f t="shared" si="0"/>
        <v>0</v>
      </c>
      <c r="J65"/>
    </row>
    <row r="66" spans="1:10">
      <c r="B66" t="s">
        <v>47</v>
      </c>
      <c r="C66" s="20" t="s">
        <v>74</v>
      </c>
      <c r="D66" s="1" t="s">
        <v>37</v>
      </c>
      <c r="E66">
        <v>2.2000000000000002</v>
      </c>
      <c r="F66" s="3">
        <v>0</v>
      </c>
      <c r="G66" s="3">
        <v>1521</v>
      </c>
      <c r="H66" s="3">
        <f t="shared" si="0"/>
        <v>0</v>
      </c>
      <c r="J66"/>
    </row>
    <row r="67" spans="1:10">
      <c r="B67" t="s">
        <v>75</v>
      </c>
      <c r="C67" s="20" t="s">
        <v>76</v>
      </c>
      <c r="D67" s="1" t="s">
        <v>50</v>
      </c>
      <c r="E67">
        <v>2.6</v>
      </c>
      <c r="F67" s="3">
        <v>540</v>
      </c>
      <c r="G67" s="3">
        <v>1827</v>
      </c>
      <c r="H67" s="3">
        <f>+F67*G67</f>
        <v>986580</v>
      </c>
      <c r="J67"/>
    </row>
    <row r="68" spans="1:10">
      <c r="B68" t="s">
        <v>75</v>
      </c>
      <c r="C68" s="20" t="s">
        <v>179</v>
      </c>
      <c r="D68" s="1" t="s">
        <v>50</v>
      </c>
      <c r="E68">
        <v>2.6</v>
      </c>
      <c r="F68" s="3">
        <v>288</v>
      </c>
      <c r="G68" s="3">
        <v>1827</v>
      </c>
      <c r="H68" s="3">
        <f>+F68*G68</f>
        <v>526176</v>
      </c>
      <c r="J68"/>
    </row>
    <row r="69" spans="1:10">
      <c r="B69" t="s">
        <v>173</v>
      </c>
      <c r="C69" s="20" t="s">
        <v>175</v>
      </c>
      <c r="D69" s="1" t="s">
        <v>174</v>
      </c>
      <c r="E69">
        <v>2.66</v>
      </c>
      <c r="F69" s="3">
        <v>1024</v>
      </c>
      <c r="G69" s="3">
        <v>2178</v>
      </c>
      <c r="H69" s="3">
        <f t="shared" si="0"/>
        <v>2230272</v>
      </c>
      <c r="J69"/>
    </row>
    <row r="70" spans="1:10">
      <c r="B70" s="24" t="s">
        <v>139</v>
      </c>
      <c r="C70" s="12"/>
      <c r="D70" s="13"/>
      <c r="E70" s="14" t="s">
        <v>41</v>
      </c>
      <c r="F70" s="15">
        <f>SUM(F64:F69)</f>
        <v>1852</v>
      </c>
      <c r="G70" s="15"/>
      <c r="H70" s="15">
        <f>SUM(H64:H69)</f>
        <v>3743028</v>
      </c>
      <c r="I70" s="84" t="s">
        <v>105</v>
      </c>
      <c r="J70"/>
    </row>
    <row r="71" spans="1:10">
      <c r="F71" s="4" t="s">
        <v>59</v>
      </c>
      <c r="G71" s="4"/>
      <c r="H71" s="6">
        <f>+H70/$F70</f>
        <v>2021.0734341252701</v>
      </c>
      <c r="I71" s="28"/>
      <c r="J71"/>
    </row>
    <row r="72" spans="1:10">
      <c r="F72" s="5"/>
      <c r="G72" s="5"/>
      <c r="H72" s="19"/>
      <c r="I72" s="26"/>
      <c r="J72"/>
    </row>
    <row r="73" spans="1:10">
      <c r="F73" s="5"/>
      <c r="G73" s="5"/>
      <c r="H73" s="5"/>
    </row>
    <row r="74" spans="1:10">
      <c r="A74" s="126" t="s">
        <v>81</v>
      </c>
      <c r="B74" s="127"/>
      <c r="C74" s="71"/>
      <c r="D74" s="57"/>
      <c r="E74" s="58"/>
      <c r="F74" s="59"/>
      <c r="G74" s="59"/>
      <c r="H74" s="59"/>
    </row>
    <row r="75" spans="1:10">
      <c r="B75" s="1" t="s">
        <v>40</v>
      </c>
      <c r="C75" s="1"/>
      <c r="D75" s="1"/>
      <c r="E75" s="7">
        <v>3.06</v>
      </c>
      <c r="F75" s="3">
        <v>100</v>
      </c>
      <c r="G75" s="11">
        <v>1169</v>
      </c>
      <c r="H75" s="10">
        <f>+F75*G75</f>
        <v>116900</v>
      </c>
      <c r="I75" s="17" t="s">
        <v>82</v>
      </c>
    </row>
    <row r="76" spans="1:10">
      <c r="B76" s="24" t="s">
        <v>139</v>
      </c>
      <c r="C76" s="12"/>
      <c r="D76" s="13"/>
      <c r="E76" s="14" t="s">
        <v>41</v>
      </c>
      <c r="F76" s="15">
        <f>SUM(F75)</f>
        <v>100</v>
      </c>
      <c r="G76" s="15"/>
      <c r="H76" s="15">
        <f>SUM(H75)</f>
        <v>116900</v>
      </c>
    </row>
    <row r="77" spans="1:10">
      <c r="F77" s="4" t="s">
        <v>59</v>
      </c>
      <c r="G77" s="4"/>
      <c r="H77" s="6">
        <f>+H76/$F76</f>
        <v>1169</v>
      </c>
    </row>
    <row r="78" spans="1:10">
      <c r="F78" s="5"/>
      <c r="G78" s="5"/>
      <c r="H78" s="19"/>
    </row>
    <row r="79" spans="1:10">
      <c r="A79" s="126" t="s">
        <v>88</v>
      </c>
      <c r="B79" s="127"/>
      <c r="C79" s="71"/>
      <c r="D79" s="57"/>
      <c r="E79" s="58"/>
      <c r="F79" s="59"/>
      <c r="G79" s="59"/>
      <c r="H79" s="59"/>
    </row>
    <row r="80" spans="1:10">
      <c r="B80" s="1" t="s">
        <v>38</v>
      </c>
      <c r="C80" s="1"/>
      <c r="D80" s="1"/>
      <c r="E80" s="7">
        <v>2.2000000000000002</v>
      </c>
      <c r="F80" s="3">
        <f>256*0.2</f>
        <v>51.2</v>
      </c>
      <c r="G80" s="11">
        <v>1412</v>
      </c>
      <c r="H80" s="10">
        <f>+F80*G80</f>
        <v>72294.400000000009</v>
      </c>
      <c r="I80" s="17" t="s">
        <v>177</v>
      </c>
    </row>
    <row r="81" spans="1:9">
      <c r="B81" s="24" t="s">
        <v>139</v>
      </c>
      <c r="C81" s="12"/>
      <c r="D81" s="13"/>
      <c r="E81" s="14" t="s">
        <v>41</v>
      </c>
      <c r="F81" s="15">
        <f>SUM(F80)</f>
        <v>51.2</v>
      </c>
      <c r="G81" s="15"/>
      <c r="H81" s="15">
        <f>SUM(H80)</f>
        <v>72294.400000000009</v>
      </c>
      <c r="I81" s="17" t="s">
        <v>86</v>
      </c>
    </row>
    <row r="82" spans="1:9">
      <c r="F82" s="4" t="s">
        <v>59</v>
      </c>
      <c r="G82" s="4"/>
      <c r="H82" s="6">
        <f>+H81/$F81</f>
        <v>1412</v>
      </c>
    </row>
    <row r="83" spans="1:9">
      <c r="F83" s="5"/>
      <c r="G83" s="5"/>
      <c r="H83" s="5"/>
    </row>
    <row r="84" spans="1:9">
      <c r="F84" s="5"/>
      <c r="G84" s="5"/>
      <c r="H84" s="19"/>
    </row>
    <row r="85" spans="1:9">
      <c r="A85" s="126" t="s">
        <v>141</v>
      </c>
      <c r="B85" s="127"/>
      <c r="C85" s="71"/>
      <c r="D85" s="57"/>
      <c r="E85" s="58"/>
      <c r="F85" s="59"/>
      <c r="G85" s="59"/>
      <c r="H85" s="59"/>
    </row>
    <row r="86" spans="1:9">
      <c r="A86" s="72"/>
      <c r="B86" s="74" t="s">
        <v>166</v>
      </c>
      <c r="C86" s="75"/>
      <c r="D86" s="22" t="s">
        <v>58</v>
      </c>
      <c r="E86" s="30">
        <v>3.4</v>
      </c>
      <c r="F86" s="76">
        <v>540</v>
      </c>
      <c r="G86" s="76">
        <v>1345</v>
      </c>
      <c r="H86" s="76">
        <f>PRODUCT(F86,G86)</f>
        <v>726300</v>
      </c>
    </row>
    <row r="87" spans="1:9">
      <c r="B87" s="1" t="s">
        <v>168</v>
      </c>
      <c r="C87" s="1"/>
      <c r="D87" s="1" t="s">
        <v>37</v>
      </c>
      <c r="E87" s="7">
        <v>1.8</v>
      </c>
      <c r="F87" s="3">
        <v>640</v>
      </c>
      <c r="G87" s="11">
        <v>1169</v>
      </c>
      <c r="H87" s="76">
        <f>PRODUCT(F87,G87)</f>
        <v>748160</v>
      </c>
    </row>
    <row r="88" spans="1:9">
      <c r="B88" s="1" t="s">
        <v>169</v>
      </c>
      <c r="C88" s="1"/>
      <c r="D88" s="1" t="s">
        <v>167</v>
      </c>
      <c r="E88" s="7">
        <v>2.6</v>
      </c>
      <c r="F88" s="3">
        <v>380</v>
      </c>
      <c r="G88" s="11">
        <v>2531</v>
      </c>
      <c r="H88" s="76">
        <f>PRODUCT(F88,G88)</f>
        <v>961780</v>
      </c>
    </row>
    <row r="89" spans="1:9">
      <c r="B89" s="1" t="s">
        <v>170</v>
      </c>
      <c r="C89" s="1"/>
      <c r="D89" s="1"/>
      <c r="E89" s="7">
        <v>2</v>
      </c>
      <c r="F89" s="3">
        <v>336</v>
      </c>
      <c r="G89" s="11">
        <v>1996</v>
      </c>
      <c r="H89" s="10">
        <f>PRODUCT(F89,G89)</f>
        <v>670656</v>
      </c>
    </row>
    <row r="90" spans="1:9">
      <c r="B90" s="1" t="s">
        <v>171</v>
      </c>
      <c r="C90" s="1"/>
      <c r="D90" s="1"/>
      <c r="E90" s="7">
        <v>2.6</v>
      </c>
      <c r="F90" s="3">
        <v>1104</v>
      </c>
      <c r="G90" s="11">
        <v>2730</v>
      </c>
      <c r="H90" s="10">
        <f>PRODUCT(F90,G90)</f>
        <v>3013920</v>
      </c>
    </row>
    <row r="91" spans="1:9">
      <c r="B91" s="24" t="s">
        <v>139</v>
      </c>
      <c r="C91" s="12"/>
      <c r="D91" s="13"/>
      <c r="E91" s="14" t="s">
        <v>41</v>
      </c>
      <c r="F91" s="15">
        <f>SUM(F86:F90)</f>
        <v>3000</v>
      </c>
      <c r="G91" s="15"/>
      <c r="H91" s="15">
        <f>SUM(H86:H90)</f>
        <v>6120816</v>
      </c>
    </row>
    <row r="92" spans="1:9">
      <c r="F92" s="4" t="s">
        <v>59</v>
      </c>
      <c r="G92" s="4"/>
      <c r="H92" s="6">
        <f>+H91/$F91</f>
        <v>2040.2719999999999</v>
      </c>
      <c r="I92" s="17" t="s">
        <v>140</v>
      </c>
    </row>
    <row r="93" spans="1:9">
      <c r="B93" s="25"/>
      <c r="C93" s="21"/>
      <c r="D93" s="22"/>
      <c r="E93" s="23"/>
      <c r="F93" s="19"/>
      <c r="G93" s="19"/>
      <c r="H93" s="19"/>
    </row>
    <row r="94" spans="1:9">
      <c r="F94" s="5"/>
      <c r="G94" s="5"/>
    </row>
    <row r="95" spans="1:9">
      <c r="A95" s="126" t="s">
        <v>102</v>
      </c>
      <c r="B95" s="127"/>
      <c r="C95" s="71"/>
      <c r="D95" s="57"/>
      <c r="E95" s="58"/>
      <c r="F95" s="59"/>
      <c r="G95" s="59"/>
      <c r="H95" s="59"/>
      <c r="I95" s="17" t="s">
        <v>103</v>
      </c>
    </row>
    <row r="96" spans="1:9">
      <c r="B96" s="1" t="s">
        <v>48</v>
      </c>
      <c r="C96" s="1"/>
      <c r="D96" s="1"/>
      <c r="E96" s="7">
        <v>2.4</v>
      </c>
      <c r="F96" s="3">
        <v>200</v>
      </c>
      <c r="G96" s="108">
        <v>1645</v>
      </c>
      <c r="H96" s="10">
        <f>+F96*G96</f>
        <v>329000</v>
      </c>
    </row>
    <row r="97" spans="1:16">
      <c r="B97" s="1" t="s">
        <v>104</v>
      </c>
      <c r="C97" s="1"/>
      <c r="D97" s="1"/>
      <c r="E97" s="7">
        <v>2.8</v>
      </c>
      <c r="F97" s="3">
        <v>536</v>
      </c>
      <c r="G97" s="108">
        <v>1967</v>
      </c>
      <c r="H97" s="10">
        <f>+F97*G97</f>
        <v>1054312</v>
      </c>
    </row>
    <row r="98" spans="1:16">
      <c r="B98" s="24" t="s">
        <v>139</v>
      </c>
      <c r="C98" s="12"/>
      <c r="D98" s="13"/>
      <c r="E98" s="14" t="s">
        <v>41</v>
      </c>
      <c r="F98" s="15">
        <f>SUM(F96:F97)</f>
        <v>736</v>
      </c>
      <c r="G98" s="15"/>
      <c r="H98" s="15">
        <f>SUM(H96:H97)</f>
        <v>1383312</v>
      </c>
    </row>
    <row r="99" spans="1:16">
      <c r="F99" s="4" t="s">
        <v>59</v>
      </c>
      <c r="G99" s="4"/>
      <c r="H99" s="6">
        <f>+H98/$F98</f>
        <v>1879.5</v>
      </c>
    </row>
    <row r="100" spans="1:16">
      <c r="F100" s="5"/>
      <c r="G100" s="5"/>
      <c r="H100" s="19"/>
    </row>
    <row r="101" spans="1:16">
      <c r="A101" s="126" t="s">
        <v>2</v>
      </c>
      <c r="B101" s="127"/>
      <c r="C101" s="71"/>
      <c r="D101" s="57"/>
      <c r="E101" s="58"/>
      <c r="F101" s="59"/>
      <c r="G101" s="59"/>
      <c r="H101" s="59"/>
    </row>
    <row r="102" spans="1:16">
      <c r="B102" s="1" t="s">
        <v>1</v>
      </c>
      <c r="C102" s="1"/>
      <c r="D102" s="1"/>
      <c r="E102" s="7">
        <v>3.2</v>
      </c>
      <c r="F102" s="3">
        <v>320</v>
      </c>
      <c r="G102" s="11">
        <v>1543</v>
      </c>
      <c r="H102" s="10">
        <f>+F102*G102</f>
        <v>493760</v>
      </c>
      <c r="I102" s="17" t="s">
        <v>177</v>
      </c>
    </row>
    <row r="103" spans="1:16">
      <c r="B103" s="1" t="s">
        <v>48</v>
      </c>
      <c r="C103" s="1"/>
      <c r="D103" s="1"/>
      <c r="E103" s="7">
        <v>2.4</v>
      </c>
      <c r="F103" s="3">
        <v>0</v>
      </c>
      <c r="G103" s="11">
        <v>1645</v>
      </c>
      <c r="H103" s="10">
        <f>+F103*G103</f>
        <v>0</v>
      </c>
    </row>
    <row r="104" spans="1:16">
      <c r="B104" s="24" t="s">
        <v>139</v>
      </c>
      <c r="C104" s="12"/>
      <c r="D104" s="13"/>
      <c r="E104" s="14" t="s">
        <v>41</v>
      </c>
      <c r="F104" s="15">
        <f>SUM(F102:F103)</f>
        <v>320</v>
      </c>
      <c r="G104" s="15"/>
      <c r="H104" s="15">
        <f>SUM(H102:H103)</f>
        <v>493760</v>
      </c>
    </row>
    <row r="105" spans="1:16">
      <c r="F105" s="4" t="s">
        <v>59</v>
      </c>
      <c r="G105" s="4"/>
      <c r="H105" s="6">
        <f>+H104/$F104</f>
        <v>1543</v>
      </c>
    </row>
    <row r="106" spans="1:16">
      <c r="F106" s="5"/>
      <c r="G106" s="5"/>
      <c r="H106" s="5"/>
    </row>
    <row r="108" spans="1:16" ht="17">
      <c r="C108" s="54" t="s">
        <v>63</v>
      </c>
      <c r="D108" s="55"/>
      <c r="E108" s="55"/>
      <c r="F108" s="56">
        <f>F104+F98+F91+F76+F70*0.33+F54+F47+F40+F32+F22+F14+F9</f>
        <v>8175.16</v>
      </c>
      <c r="G108" s="56" t="s">
        <v>21</v>
      </c>
      <c r="H108" s="56">
        <f>H104+H98+H91+H76+H70*0.33+H54+H47+H40+H32+H22+H14+H9</f>
        <v>16210519.24</v>
      </c>
      <c r="I108" s="29" t="s">
        <v>181</v>
      </c>
    </row>
    <row r="109" spans="1:16" ht="17">
      <c r="C109" s="54"/>
      <c r="D109" s="105"/>
      <c r="E109" s="58"/>
      <c r="F109" s="59"/>
      <c r="G109" s="59"/>
      <c r="H109" s="59"/>
      <c r="I109" s="17" t="s">
        <v>138</v>
      </c>
      <c r="J109" s="31" t="s">
        <v>49</v>
      </c>
    </row>
    <row r="110" spans="1:16" ht="17">
      <c r="B110" s="16"/>
      <c r="C110" s="54" t="s">
        <v>64</v>
      </c>
      <c r="D110" s="105"/>
      <c r="E110" s="58"/>
      <c r="F110" s="56">
        <f>F104+F98+F76+F70*0.33+F54+F47+F40+F32+F22+F14+F9</f>
        <v>5175.16</v>
      </c>
      <c r="G110" s="56" t="s">
        <v>149</v>
      </c>
      <c r="H110" s="56">
        <f>H104+H98+H76+H70*0.33+H54+H47+H40+H32+H22+H14+H9</f>
        <v>10089703.24</v>
      </c>
      <c r="J110" s="18"/>
      <c r="K110" s="124"/>
      <c r="L110" s="125"/>
      <c r="M110" s="125"/>
      <c r="N110" s="125"/>
      <c r="O110" s="125"/>
      <c r="P110" s="125"/>
    </row>
    <row r="111" spans="1:16" ht="15">
      <c r="B111" s="16"/>
      <c r="C111" s="16"/>
      <c r="D111" s="16"/>
    </row>
    <row r="113" spans="1:10">
      <c r="A113" t="s">
        <v>157</v>
      </c>
      <c r="B113" s="3" t="s">
        <v>156</v>
      </c>
    </row>
    <row r="114" spans="1:10">
      <c r="A114" t="s">
        <v>150</v>
      </c>
      <c r="B114" s="3">
        <f>F91</f>
        <v>3000</v>
      </c>
    </row>
    <row r="115" spans="1:10">
      <c r="A115" t="s">
        <v>151</v>
      </c>
      <c r="B115" s="3">
        <f>F22+F14</f>
        <v>492</v>
      </c>
      <c r="E115"/>
      <c r="F115"/>
      <c r="G115"/>
      <c r="H115"/>
      <c r="I115"/>
      <c r="J115"/>
    </row>
    <row r="116" spans="1:10">
      <c r="A116" t="s">
        <v>152</v>
      </c>
      <c r="B116" s="3">
        <f>F104+F98+F54</f>
        <v>1316</v>
      </c>
      <c r="E116"/>
      <c r="F116"/>
      <c r="G116"/>
      <c r="H116"/>
      <c r="I116"/>
      <c r="J116"/>
    </row>
    <row r="117" spans="1:10">
      <c r="A117" t="s">
        <v>153</v>
      </c>
      <c r="B117" s="3">
        <f>F40+F47+F32+F76</f>
        <v>1832</v>
      </c>
      <c r="E117"/>
      <c r="F117"/>
      <c r="G117"/>
      <c r="H117"/>
      <c r="I117"/>
      <c r="J117"/>
    </row>
    <row r="118" spans="1:10">
      <c r="A118" t="s">
        <v>154</v>
      </c>
      <c r="B118" s="3">
        <f>F9</f>
        <v>924</v>
      </c>
      <c r="E118"/>
      <c r="F118"/>
      <c r="G118"/>
      <c r="H118"/>
      <c r="I118"/>
      <c r="J118"/>
    </row>
    <row r="119" spans="1:10">
      <c r="A119" t="s">
        <v>155</v>
      </c>
      <c r="B119">
        <f>F70*0.33</f>
        <v>611.16000000000008</v>
      </c>
      <c r="E119"/>
      <c r="F119"/>
      <c r="G119"/>
      <c r="H119"/>
      <c r="I119"/>
      <c r="J119"/>
    </row>
    <row r="120" spans="1:10">
      <c r="A120" t="s">
        <v>158</v>
      </c>
      <c r="B120" s="3">
        <f>SUM(B114:B119)</f>
        <v>8175.16</v>
      </c>
      <c r="E120"/>
      <c r="F120"/>
      <c r="G120"/>
      <c r="H120"/>
      <c r="I120"/>
      <c r="J120"/>
    </row>
    <row r="121" spans="1:10">
      <c r="A121" t="s">
        <v>159</v>
      </c>
      <c r="B121" s="3">
        <f>SUM(B115:B119)</f>
        <v>5175.16</v>
      </c>
      <c r="E121"/>
      <c r="F121"/>
      <c r="G121"/>
      <c r="H121"/>
      <c r="I121"/>
      <c r="J121"/>
    </row>
  </sheetData>
  <mergeCells count="18">
    <mergeCell ref="A25:B25"/>
    <mergeCell ref="C3:C4"/>
    <mergeCell ref="G3:H3"/>
    <mergeCell ref="A6:B6"/>
    <mergeCell ref="A12:B12"/>
    <mergeCell ref="A17:B17"/>
    <mergeCell ref="K110:P110"/>
    <mergeCell ref="A30:B30"/>
    <mergeCell ref="A36:B36"/>
    <mergeCell ref="A43:B43"/>
    <mergeCell ref="A51:B51"/>
    <mergeCell ref="A57:B57"/>
    <mergeCell ref="A63:B63"/>
    <mergeCell ref="A74:B74"/>
    <mergeCell ref="A79:B79"/>
    <mergeCell ref="A85:B85"/>
    <mergeCell ref="A95:B95"/>
    <mergeCell ref="A101:B101"/>
  </mergeCells>
  <phoneticPr fontId="34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Z149"/>
  <sheetViews>
    <sheetView tabSelected="1" topLeftCell="F62" workbookViewId="0">
      <selection activeCell="K78" sqref="K78"/>
    </sheetView>
  </sheetViews>
  <sheetFormatPr baseColWidth="10" defaultColWidth="8.83203125" defaultRowHeight="12"/>
  <cols>
    <col min="1" max="1" width="27.83203125" customWidth="1"/>
    <col min="2" max="9" width="11.5" customWidth="1"/>
    <col min="10" max="10" width="19.83203125" customWidth="1"/>
    <col min="11" max="11" width="24.5" customWidth="1"/>
    <col min="12" max="12" width="22.33203125" customWidth="1"/>
    <col min="13" max="18" width="22.83203125" customWidth="1"/>
    <col min="19" max="19" width="21.5" customWidth="1"/>
    <col min="20" max="20" width="20" customWidth="1"/>
    <col min="21" max="21" width="19.1640625" customWidth="1"/>
    <col min="22" max="22" width="20.6640625" customWidth="1"/>
    <col min="23" max="23" width="18" customWidth="1"/>
    <col min="24" max="24" width="20.5" customWidth="1"/>
    <col min="25" max="25" width="20.33203125" customWidth="1"/>
    <col min="26" max="26" width="21.83203125" customWidth="1"/>
  </cols>
  <sheetData>
    <row r="1" spans="1:26" ht="17">
      <c r="A1" s="60" t="s">
        <v>67</v>
      </c>
      <c r="F1" s="91"/>
      <c r="G1" s="91"/>
      <c r="H1" s="91"/>
    </row>
    <row r="2" spans="1:26" ht="18" thickBot="1">
      <c r="F2" s="91"/>
      <c r="G2" s="92"/>
      <c r="H2" s="91"/>
      <c r="J2" s="79" t="s">
        <v>79</v>
      </c>
      <c r="K2" s="104" t="s">
        <v>116</v>
      </c>
      <c r="L2" s="104" t="s">
        <v>115</v>
      </c>
      <c r="M2" s="104" t="s">
        <v>172</v>
      </c>
      <c r="N2" s="104" t="s">
        <v>52</v>
      </c>
      <c r="O2" s="104" t="s">
        <v>53</v>
      </c>
      <c r="P2" s="104" t="s">
        <v>54</v>
      </c>
      <c r="Q2" s="104" t="s">
        <v>55</v>
      </c>
      <c r="R2" s="104" t="s">
        <v>107</v>
      </c>
      <c r="S2" s="104" t="s">
        <v>117</v>
      </c>
      <c r="T2" s="104" t="s">
        <v>108</v>
      </c>
      <c r="U2" s="104" t="s">
        <v>109</v>
      </c>
      <c r="V2" s="104" t="s">
        <v>110</v>
      </c>
      <c r="W2" s="104" t="s">
        <v>111</v>
      </c>
      <c r="X2" s="104" t="s">
        <v>112</v>
      </c>
      <c r="Y2" s="104" t="s">
        <v>113</v>
      </c>
      <c r="Z2" s="104" t="s">
        <v>114</v>
      </c>
    </row>
    <row r="3" spans="1:26" ht="16" thickBot="1">
      <c r="A3" s="32" t="s">
        <v>19</v>
      </c>
      <c r="B3" s="41">
        <v>2007</v>
      </c>
      <c r="C3" s="41">
        <v>2008</v>
      </c>
      <c r="D3" s="41">
        <v>2009</v>
      </c>
      <c r="E3" s="41">
        <v>2010</v>
      </c>
      <c r="F3" s="42">
        <v>2011</v>
      </c>
      <c r="G3" s="85">
        <v>2012</v>
      </c>
      <c r="H3" s="86">
        <v>2013</v>
      </c>
      <c r="J3" s="80" t="s">
        <v>146</v>
      </c>
      <c r="K3" s="3">
        <f>'v11'!H89</f>
        <v>6120816</v>
      </c>
      <c r="L3">
        <f>B4*1000</f>
        <v>2560000</v>
      </c>
      <c r="M3">
        <f>C4*1000</f>
        <v>4844000</v>
      </c>
      <c r="N3">
        <f>D4*1000</f>
        <v>7337000</v>
      </c>
      <c r="O3">
        <f>E4*1000</f>
        <v>12765000</v>
      </c>
      <c r="P3">
        <f t="shared" ref="P3:R3" si="0">F4*1000</f>
        <v>18193000</v>
      </c>
      <c r="Q3">
        <f t="shared" si="0"/>
        <v>21132400</v>
      </c>
      <c r="R3">
        <f t="shared" si="0"/>
        <v>32200000</v>
      </c>
      <c r="S3">
        <v>2100</v>
      </c>
      <c r="T3">
        <f>B6</f>
        <v>1100</v>
      </c>
      <c r="U3">
        <f>C6</f>
        <v>3136</v>
      </c>
      <c r="V3">
        <f t="shared" ref="V3:Z3" si="1">D6</f>
        <v>5822</v>
      </c>
      <c r="W3">
        <f t="shared" si="1"/>
        <v>11637</v>
      </c>
      <c r="X3">
        <f t="shared" si="1"/>
        <v>16509</v>
      </c>
      <c r="Y3">
        <f t="shared" si="1"/>
        <v>16964.8</v>
      </c>
      <c r="Z3">
        <f t="shared" si="1"/>
        <v>27600</v>
      </c>
    </row>
    <row r="4" spans="1:26" ht="15">
      <c r="A4" s="141" t="s">
        <v>8</v>
      </c>
      <c r="B4" s="172">
        <v>2560</v>
      </c>
      <c r="C4" s="175">
        <v>4844</v>
      </c>
      <c r="D4" s="175">
        <v>7337</v>
      </c>
      <c r="E4" s="167">
        <v>12765</v>
      </c>
      <c r="F4" s="167">
        <v>18193</v>
      </c>
      <c r="G4" s="154">
        <f>91880*0.23</f>
        <v>21132.400000000001</v>
      </c>
      <c r="H4" s="156">
        <f>140000*0.23</f>
        <v>32200</v>
      </c>
      <c r="J4" s="80" t="s">
        <v>142</v>
      </c>
      <c r="K4" s="3">
        <f>'v11'!H26</f>
        <v>1375816</v>
      </c>
      <c r="L4" s="81">
        <f>B14*1000</f>
        <v>394000</v>
      </c>
      <c r="M4" s="81">
        <f>C14*1000</f>
        <v>665000</v>
      </c>
      <c r="N4" s="81">
        <f>D14*1000</f>
        <v>1049000</v>
      </c>
      <c r="O4" s="81">
        <f>E14*1000</f>
        <v>1592000</v>
      </c>
      <c r="P4" s="81">
        <f t="shared" ref="P4:R4" si="2">F14*1000</f>
        <v>1966000</v>
      </c>
      <c r="Q4" s="81">
        <f t="shared" si="2"/>
        <v>3989600</v>
      </c>
      <c r="R4" s="81">
        <f t="shared" si="2"/>
        <v>5474000</v>
      </c>
      <c r="S4">
        <v>170</v>
      </c>
      <c r="T4" s="81">
        <f>B16</f>
        <v>103</v>
      </c>
      <c r="U4" s="81">
        <f>C16</f>
        <v>244</v>
      </c>
      <c r="V4" s="81">
        <f t="shared" ref="V4:Z4" si="3">D16</f>
        <v>445</v>
      </c>
      <c r="W4" s="81">
        <f t="shared" si="3"/>
        <v>727</v>
      </c>
      <c r="X4" s="81">
        <f t="shared" si="3"/>
        <v>1024</v>
      </c>
      <c r="Y4" s="81">
        <f t="shared" si="3"/>
        <v>1851</v>
      </c>
      <c r="Z4" s="81">
        <f t="shared" si="3"/>
        <v>2577.6</v>
      </c>
    </row>
    <row r="5" spans="1:26" ht="15">
      <c r="A5" s="138"/>
      <c r="B5" s="140"/>
      <c r="C5" s="170"/>
      <c r="D5" s="170"/>
      <c r="E5" s="168"/>
      <c r="F5" s="168"/>
      <c r="G5" s="155"/>
      <c r="H5" s="157"/>
      <c r="J5" s="80" t="s">
        <v>147</v>
      </c>
      <c r="K5" s="3">
        <f>'v11'!H96+'v11'!H102+'v11'!H63</f>
        <v>2341916</v>
      </c>
      <c r="L5" s="81">
        <f>B22*1000</f>
        <v>998000</v>
      </c>
      <c r="M5" s="81">
        <f>C22*1000</f>
        <v>1386000</v>
      </c>
      <c r="N5" s="81">
        <f>D22*1000</f>
        <v>1734000</v>
      </c>
      <c r="O5" s="81">
        <f>E22*1000</f>
        <v>1966000</v>
      </c>
      <c r="P5" s="81">
        <f t="shared" ref="P5:R5" si="4">F22*1000</f>
        <v>2514000</v>
      </c>
      <c r="Q5" s="81">
        <f t="shared" si="4"/>
        <v>3989600</v>
      </c>
      <c r="R5" s="81">
        <f t="shared" si="4"/>
        <v>5474000</v>
      </c>
      <c r="S5">
        <v>263</v>
      </c>
      <c r="T5" s="81">
        <f>B24</f>
        <v>143</v>
      </c>
      <c r="U5" s="81">
        <f>C24</f>
        <v>256</v>
      </c>
      <c r="V5" s="81">
        <f t="shared" ref="V5:Z5" si="5">D24</f>
        <v>328</v>
      </c>
      <c r="W5" s="81">
        <f t="shared" si="5"/>
        <v>650</v>
      </c>
      <c r="X5" s="81">
        <f t="shared" si="5"/>
        <v>1103</v>
      </c>
      <c r="Y5" s="81">
        <f t="shared" si="5"/>
        <v>1851</v>
      </c>
      <c r="Z5" s="81">
        <f t="shared" si="5"/>
        <v>2577.6</v>
      </c>
    </row>
    <row r="6" spans="1:26" ht="15">
      <c r="A6" s="137" t="s">
        <v>9</v>
      </c>
      <c r="B6" s="139">
        <v>1100</v>
      </c>
      <c r="C6" s="169">
        <v>3136</v>
      </c>
      <c r="D6" s="169">
        <v>5822</v>
      </c>
      <c r="E6" s="171">
        <v>11637</v>
      </c>
      <c r="F6" s="171">
        <v>16509</v>
      </c>
      <c r="G6" s="158">
        <f>73760*0.23</f>
        <v>16964.8</v>
      </c>
      <c r="H6" s="160">
        <f>120000*0.23</f>
        <v>27600</v>
      </c>
      <c r="J6" s="80" t="s">
        <v>144</v>
      </c>
      <c r="K6" s="3">
        <f>'v11'!H46+'v11'!H54+'v11'!H37+'v11'!H32</f>
        <v>4770976</v>
      </c>
      <c r="L6" s="81">
        <f>B30*1000</f>
        <v>826000</v>
      </c>
      <c r="M6" s="81">
        <f>C30*1000</f>
        <v>1112000</v>
      </c>
      <c r="N6" s="81">
        <f>D30*1000</f>
        <v>978000</v>
      </c>
      <c r="O6" s="81">
        <f>E30*1000</f>
        <v>1262000</v>
      </c>
      <c r="P6" s="81">
        <f t="shared" ref="P6:Q6" si="6">F30*1000</f>
        <v>1785000</v>
      </c>
      <c r="Q6" s="81">
        <f t="shared" si="6"/>
        <v>3989600</v>
      </c>
      <c r="R6" s="81">
        <f>H30*1000</f>
        <v>5474000</v>
      </c>
      <c r="S6">
        <v>524</v>
      </c>
      <c r="T6" s="81">
        <f>B32</f>
        <v>213</v>
      </c>
      <c r="U6" s="81">
        <f>C32</f>
        <v>282</v>
      </c>
      <c r="V6" s="81">
        <f t="shared" ref="V6:Z6" si="7">D32</f>
        <v>358</v>
      </c>
      <c r="W6" s="81">
        <f t="shared" si="7"/>
        <v>362</v>
      </c>
      <c r="X6" s="81">
        <f t="shared" si="7"/>
        <v>512</v>
      </c>
      <c r="Y6" s="81">
        <f t="shared" si="7"/>
        <v>1851</v>
      </c>
      <c r="Z6" s="81">
        <f t="shared" si="7"/>
        <v>2577.6</v>
      </c>
    </row>
    <row r="7" spans="1:26" ht="15">
      <c r="A7" s="138"/>
      <c r="B7" s="140"/>
      <c r="C7" s="170"/>
      <c r="D7" s="170"/>
      <c r="E7" s="168"/>
      <c r="F7" s="168"/>
      <c r="G7" s="159"/>
      <c r="H7" s="161"/>
      <c r="J7" s="80" t="s">
        <v>143</v>
      </c>
      <c r="K7" s="3">
        <f>'v11'!H10</f>
        <v>4677868</v>
      </c>
      <c r="L7" s="81">
        <f>B38*1000</f>
        <v>581000</v>
      </c>
      <c r="M7" s="81">
        <f>C38*1000</f>
        <v>965000</v>
      </c>
      <c r="N7" s="81">
        <f>D38*1000</f>
        <v>1406000</v>
      </c>
      <c r="O7" s="81">
        <f>E38*1000</f>
        <v>1670000</v>
      </c>
      <c r="P7" s="81">
        <f t="shared" ref="P7:R7" si="8">F38*1000</f>
        <v>2032000</v>
      </c>
      <c r="Q7" s="81">
        <f t="shared" si="8"/>
        <v>3989600</v>
      </c>
      <c r="R7" s="81">
        <f t="shared" si="8"/>
        <v>5474000</v>
      </c>
      <c r="S7">
        <v>570</v>
      </c>
      <c r="T7" s="81">
        <f>B40</f>
        <v>155</v>
      </c>
      <c r="U7" s="81">
        <f>C40</f>
        <v>322</v>
      </c>
      <c r="V7" s="81">
        <f t="shared" ref="V7:Z7" si="9">D40</f>
        <v>542</v>
      </c>
      <c r="W7" s="81">
        <f t="shared" si="9"/>
        <v>709</v>
      </c>
      <c r="X7" s="81">
        <f t="shared" si="9"/>
        <v>914</v>
      </c>
      <c r="Y7" s="81">
        <f t="shared" si="9"/>
        <v>1851</v>
      </c>
      <c r="Z7" s="81">
        <f t="shared" si="9"/>
        <v>2577.6</v>
      </c>
    </row>
    <row r="8" spans="1:26" ht="15">
      <c r="A8" s="137" t="s">
        <v>65</v>
      </c>
      <c r="B8" s="144">
        <v>603</v>
      </c>
      <c r="C8" s="150">
        <v>1715</v>
      </c>
      <c r="D8" s="150">
        <v>3277</v>
      </c>
      <c r="E8" s="173">
        <v>6286</v>
      </c>
      <c r="F8" s="152">
        <v>9820</v>
      </c>
      <c r="G8" s="159">
        <v>15085</v>
      </c>
      <c r="H8" s="180">
        <v>18630</v>
      </c>
      <c r="J8" s="80" t="s">
        <v>145</v>
      </c>
      <c r="K8" s="3">
        <f>'v11'!H79*0.313</f>
        <v>1171567.764</v>
      </c>
      <c r="L8" s="81">
        <f>B46*1000</f>
        <v>550000</v>
      </c>
      <c r="M8" s="81">
        <f>C46*1000</f>
        <v>820000</v>
      </c>
      <c r="N8" s="81">
        <f>D46*1000</f>
        <v>1202000</v>
      </c>
      <c r="O8" s="81">
        <f>E46*1000</f>
        <v>1191000</v>
      </c>
      <c r="P8" s="81">
        <f t="shared" ref="P8:R8" si="10">F46*1000</f>
        <v>1685000</v>
      </c>
      <c r="Q8" s="81">
        <f t="shared" si="10"/>
        <v>3989600</v>
      </c>
      <c r="R8" s="81">
        <f t="shared" si="10"/>
        <v>5474000</v>
      </c>
      <c r="S8">
        <v>275</v>
      </c>
      <c r="T8" s="81">
        <f>B48</f>
        <v>51</v>
      </c>
      <c r="U8" s="81">
        <f>C48</f>
        <v>275</v>
      </c>
      <c r="V8" s="81">
        <f t="shared" ref="V8:Z8" si="11">D48</f>
        <v>412.5</v>
      </c>
      <c r="W8" s="81">
        <f t="shared" si="11"/>
        <v>618.75</v>
      </c>
      <c r="X8" s="81">
        <f t="shared" si="11"/>
        <v>928.125</v>
      </c>
      <c r="Y8" s="81">
        <f t="shared" si="11"/>
        <v>1851</v>
      </c>
      <c r="Z8" s="81">
        <f t="shared" si="11"/>
        <v>2577.6</v>
      </c>
    </row>
    <row r="9" spans="1:26" ht="15">
      <c r="A9" s="138"/>
      <c r="B9" s="145"/>
      <c r="C9" s="151"/>
      <c r="D9" s="151"/>
      <c r="E9" s="174"/>
      <c r="F9" s="152"/>
      <c r="G9" s="155"/>
      <c r="H9" s="180"/>
      <c r="J9" s="82" t="s">
        <v>148</v>
      </c>
      <c r="K9" s="83">
        <f t="shared" ref="K9:U9" si="12">SUM(K3:K8)</f>
        <v>20458959.763999999</v>
      </c>
      <c r="L9" s="83">
        <f t="shared" si="12"/>
        <v>5909000</v>
      </c>
      <c r="M9" s="83">
        <f t="shared" si="12"/>
        <v>9792000</v>
      </c>
      <c r="N9" s="83">
        <f>SUM(N3:N8)</f>
        <v>13706000</v>
      </c>
      <c r="O9" s="83">
        <f>SUM(O3:O8)</f>
        <v>20446000</v>
      </c>
      <c r="P9" s="83">
        <f t="shared" ref="P9:R9" si="13">SUM(P3:P8)</f>
        <v>28175000</v>
      </c>
      <c r="Q9" s="83">
        <f t="shared" si="13"/>
        <v>41080400</v>
      </c>
      <c r="R9" s="83">
        <f t="shared" si="13"/>
        <v>59570000</v>
      </c>
      <c r="S9" s="83">
        <f t="shared" si="12"/>
        <v>3902</v>
      </c>
      <c r="T9" s="83">
        <f t="shared" si="12"/>
        <v>1765</v>
      </c>
      <c r="U9" s="83">
        <f t="shared" si="12"/>
        <v>4515</v>
      </c>
      <c r="V9" s="83">
        <f t="shared" ref="V9:Z9" si="14">SUM(V3:V8)</f>
        <v>7907.5</v>
      </c>
      <c r="W9" s="83">
        <f t="shared" si="14"/>
        <v>14703.75</v>
      </c>
      <c r="X9" s="83">
        <f t="shared" si="14"/>
        <v>20990.125</v>
      </c>
      <c r="Y9" s="83">
        <f t="shared" si="14"/>
        <v>26219.8</v>
      </c>
      <c r="Z9" s="83">
        <f t="shared" si="14"/>
        <v>40487.999999999993</v>
      </c>
    </row>
    <row r="10" spans="1:26" ht="16" thickBot="1">
      <c r="A10" s="43" t="s">
        <v>10</v>
      </c>
      <c r="B10" s="44">
        <v>9952</v>
      </c>
      <c r="C10" s="44">
        <f>2*B10</f>
        <v>19904</v>
      </c>
      <c r="D10" s="44">
        <f>3*B10</f>
        <v>29856</v>
      </c>
      <c r="E10" s="45">
        <f>4*B10</f>
        <v>39808</v>
      </c>
      <c r="F10" s="95">
        <v>39808</v>
      </c>
      <c r="G10" s="107">
        <v>39808</v>
      </c>
      <c r="H10" s="106">
        <v>39808</v>
      </c>
      <c r="J10" s="89" t="s">
        <v>11</v>
      </c>
      <c r="K10" s="90">
        <f t="shared" ref="K10:U10" si="15">SUM(K4:K8)</f>
        <v>14338143.764</v>
      </c>
      <c r="L10" s="90">
        <f t="shared" si="15"/>
        <v>3349000</v>
      </c>
      <c r="M10" s="90">
        <f t="shared" si="15"/>
        <v>4948000</v>
      </c>
      <c r="N10" s="90">
        <f>SUM(N4:N8)</f>
        <v>6369000</v>
      </c>
      <c r="O10" s="90">
        <f>SUM(O4:O8)</f>
        <v>7681000</v>
      </c>
      <c r="P10" s="90">
        <f t="shared" ref="P10:R10" si="16">SUM(P4:P8)</f>
        <v>9982000</v>
      </c>
      <c r="Q10" s="90">
        <f t="shared" si="16"/>
        <v>19948000</v>
      </c>
      <c r="R10" s="90">
        <f t="shared" si="16"/>
        <v>27370000</v>
      </c>
      <c r="S10" s="90">
        <f>SUM(S4:S8)</f>
        <v>1802</v>
      </c>
      <c r="T10" s="90">
        <f t="shared" si="15"/>
        <v>665</v>
      </c>
      <c r="U10" s="90">
        <f t="shared" si="15"/>
        <v>1379</v>
      </c>
      <c r="V10" s="90">
        <f t="shared" ref="V10:Z10" si="17">SUM(V4:V8)</f>
        <v>2085.5</v>
      </c>
      <c r="W10" s="90">
        <f t="shared" si="17"/>
        <v>3066.75</v>
      </c>
      <c r="X10" s="90">
        <f t="shared" si="17"/>
        <v>4481.125</v>
      </c>
      <c r="Y10" s="90">
        <f t="shared" si="17"/>
        <v>9255</v>
      </c>
      <c r="Z10" s="90">
        <f t="shared" si="17"/>
        <v>12888</v>
      </c>
    </row>
    <row r="11" spans="1:26">
      <c r="A11" s="93"/>
      <c r="B11" s="94"/>
      <c r="C11" s="94"/>
      <c r="D11" s="94"/>
      <c r="E11" s="94"/>
      <c r="F11" s="94"/>
      <c r="G11" s="96"/>
      <c r="H11" s="96"/>
    </row>
    <row r="12" spans="1:26" ht="13" thickBot="1">
      <c r="A12" s="46"/>
      <c r="B12" s="47"/>
      <c r="C12" s="47"/>
      <c r="D12" s="47"/>
      <c r="E12" s="47"/>
      <c r="F12" s="47"/>
      <c r="G12" s="96"/>
      <c r="H12" s="96"/>
    </row>
    <row r="13" spans="1:26" ht="13" thickBot="1">
      <c r="A13" s="32" t="s">
        <v>7</v>
      </c>
      <c r="B13" s="33">
        <v>2007</v>
      </c>
      <c r="C13" s="33">
        <v>2008</v>
      </c>
      <c r="D13" s="33">
        <v>2009</v>
      </c>
      <c r="E13" s="33">
        <v>2010</v>
      </c>
      <c r="F13" s="34">
        <v>2011</v>
      </c>
      <c r="G13" s="87">
        <v>2012</v>
      </c>
      <c r="H13" s="88">
        <v>2013</v>
      </c>
    </row>
    <row r="14" spans="1:26">
      <c r="A14" s="141" t="s">
        <v>8</v>
      </c>
      <c r="B14" s="142">
        <v>394</v>
      </c>
      <c r="C14" s="142">
        <v>665</v>
      </c>
      <c r="D14" s="142">
        <v>1049</v>
      </c>
      <c r="E14" s="142">
        <v>1592</v>
      </c>
      <c r="F14" s="148">
        <v>1966</v>
      </c>
      <c r="G14" s="162">
        <f>19948/5</f>
        <v>3989.6</v>
      </c>
      <c r="H14" s="164">
        <f>27370/5</f>
        <v>5474</v>
      </c>
    </row>
    <row r="15" spans="1:26">
      <c r="A15" s="138"/>
      <c r="B15" s="143"/>
      <c r="C15" s="143"/>
      <c r="D15" s="143"/>
      <c r="E15" s="143"/>
      <c r="F15" s="149"/>
      <c r="G15" s="163"/>
      <c r="H15" s="165"/>
    </row>
    <row r="16" spans="1:26">
      <c r="A16" s="137" t="s">
        <v>9</v>
      </c>
      <c r="B16" s="146">
        <v>103</v>
      </c>
      <c r="C16" s="146">
        <v>244</v>
      </c>
      <c r="D16" s="146">
        <v>445</v>
      </c>
      <c r="E16" s="146">
        <v>727</v>
      </c>
      <c r="F16" s="153">
        <v>1024</v>
      </c>
      <c r="G16" s="166">
        <f>9255/5</f>
        <v>1851</v>
      </c>
      <c r="H16" s="179">
        <f>12888/5</f>
        <v>2577.6</v>
      </c>
    </row>
    <row r="17" spans="1:8">
      <c r="A17" s="138"/>
      <c r="B17" s="143"/>
      <c r="C17" s="143"/>
      <c r="D17" s="143"/>
      <c r="E17" s="143"/>
      <c r="F17" s="149"/>
      <c r="G17" s="163"/>
      <c r="H17" s="165"/>
    </row>
    <row r="18" spans="1:8" ht="13" thickBot="1">
      <c r="A18" s="35" t="s">
        <v>10</v>
      </c>
      <c r="B18" s="36"/>
      <c r="C18" s="36"/>
      <c r="D18" s="36"/>
      <c r="E18" s="36"/>
      <c r="F18" s="37"/>
      <c r="G18" s="98"/>
      <c r="H18" s="99"/>
    </row>
    <row r="19" spans="1:8">
      <c r="G19" s="97"/>
      <c r="H19" s="97"/>
    </row>
    <row r="20" spans="1:8" ht="13" thickBot="1">
      <c r="G20" s="97"/>
      <c r="H20" s="97"/>
    </row>
    <row r="21" spans="1:8" ht="13" thickBot="1">
      <c r="A21" s="32" t="s">
        <v>12</v>
      </c>
      <c r="B21" s="33">
        <v>2007</v>
      </c>
      <c r="C21" s="33">
        <v>2008</v>
      </c>
      <c r="D21" s="33">
        <v>2009</v>
      </c>
      <c r="E21" s="33">
        <v>2010</v>
      </c>
      <c r="F21" s="34">
        <v>2011</v>
      </c>
      <c r="G21" s="87">
        <v>2012</v>
      </c>
      <c r="H21" s="88">
        <v>2013</v>
      </c>
    </row>
    <row r="22" spans="1:8">
      <c r="A22" s="141" t="s">
        <v>8</v>
      </c>
      <c r="B22" s="142">
        <v>998</v>
      </c>
      <c r="C22" s="142">
        <v>1386</v>
      </c>
      <c r="D22" s="142">
        <v>1734</v>
      </c>
      <c r="E22" s="142">
        <v>1966</v>
      </c>
      <c r="F22" s="148">
        <v>2514</v>
      </c>
      <c r="G22" s="162">
        <f>19948/5</f>
        <v>3989.6</v>
      </c>
      <c r="H22" s="164">
        <f>27370/5</f>
        <v>5474</v>
      </c>
    </row>
    <row r="23" spans="1:8">
      <c r="A23" s="138"/>
      <c r="B23" s="143"/>
      <c r="C23" s="143"/>
      <c r="D23" s="143"/>
      <c r="E23" s="143"/>
      <c r="F23" s="149"/>
      <c r="G23" s="163"/>
      <c r="H23" s="165"/>
    </row>
    <row r="24" spans="1:8">
      <c r="A24" s="137" t="s">
        <v>9</v>
      </c>
      <c r="B24" s="146">
        <v>143</v>
      </c>
      <c r="C24" s="146">
        <v>256</v>
      </c>
      <c r="D24" s="146">
        <v>328</v>
      </c>
      <c r="E24" s="146">
        <v>650</v>
      </c>
      <c r="F24" s="153">
        <v>1103</v>
      </c>
      <c r="G24" s="166">
        <f>9255/5</f>
        <v>1851</v>
      </c>
      <c r="H24" s="179">
        <f>12888/5</f>
        <v>2577.6</v>
      </c>
    </row>
    <row r="25" spans="1:8">
      <c r="A25" s="138"/>
      <c r="B25" s="143"/>
      <c r="C25" s="143"/>
      <c r="D25" s="143"/>
      <c r="E25" s="143"/>
      <c r="F25" s="149"/>
      <c r="G25" s="163"/>
      <c r="H25" s="165"/>
    </row>
    <row r="26" spans="1:8" ht="13" thickBot="1">
      <c r="A26" s="35" t="s">
        <v>10</v>
      </c>
      <c r="B26" s="36"/>
      <c r="C26" s="36"/>
      <c r="D26" s="36"/>
      <c r="E26" s="36"/>
      <c r="F26" s="37"/>
      <c r="G26" s="98"/>
      <c r="H26" s="99"/>
    </row>
    <row r="27" spans="1:8">
      <c r="G27" s="97"/>
      <c r="H27" s="97"/>
    </row>
    <row r="28" spans="1:8" ht="13" thickBot="1">
      <c r="G28" s="97"/>
      <c r="H28" s="97"/>
    </row>
    <row r="29" spans="1:8" ht="13" thickBot="1">
      <c r="A29" s="32" t="s">
        <v>13</v>
      </c>
      <c r="B29" s="33">
        <v>2007</v>
      </c>
      <c r="C29" s="33">
        <v>2008</v>
      </c>
      <c r="D29" s="33">
        <v>2009</v>
      </c>
      <c r="E29" s="33">
        <v>2010</v>
      </c>
      <c r="F29" s="34">
        <v>2011</v>
      </c>
      <c r="G29" s="87">
        <v>2012</v>
      </c>
      <c r="H29" s="88">
        <v>2013</v>
      </c>
    </row>
    <row r="30" spans="1:8">
      <c r="A30" s="141" t="s">
        <v>8</v>
      </c>
      <c r="B30" s="142">
        <v>826</v>
      </c>
      <c r="C30" s="142">
        <v>1112</v>
      </c>
      <c r="D30" s="142">
        <v>978</v>
      </c>
      <c r="E30" s="142">
        <v>1262</v>
      </c>
      <c r="F30" s="148">
        <v>1785</v>
      </c>
      <c r="G30" s="162">
        <f>19948/5</f>
        <v>3989.6</v>
      </c>
      <c r="H30" s="164">
        <f>27370/5</f>
        <v>5474</v>
      </c>
    </row>
    <row r="31" spans="1:8">
      <c r="A31" s="138"/>
      <c r="B31" s="143"/>
      <c r="C31" s="143"/>
      <c r="D31" s="143"/>
      <c r="E31" s="143"/>
      <c r="F31" s="149"/>
      <c r="G31" s="163"/>
      <c r="H31" s="165"/>
    </row>
    <row r="32" spans="1:8">
      <c r="A32" s="137" t="s">
        <v>9</v>
      </c>
      <c r="B32" s="146">
        <v>213</v>
      </c>
      <c r="C32" s="146">
        <v>282</v>
      </c>
      <c r="D32" s="146">
        <v>358</v>
      </c>
      <c r="E32" s="146">
        <v>362</v>
      </c>
      <c r="F32" s="153">
        <v>512</v>
      </c>
      <c r="G32" s="166">
        <f>9255/5</f>
        <v>1851</v>
      </c>
      <c r="H32" s="179">
        <f>12888/5</f>
        <v>2577.6</v>
      </c>
    </row>
    <row r="33" spans="1:8">
      <c r="A33" s="138"/>
      <c r="B33" s="143"/>
      <c r="C33" s="143"/>
      <c r="D33" s="143"/>
      <c r="E33" s="143"/>
      <c r="F33" s="149"/>
      <c r="G33" s="163"/>
      <c r="H33" s="165"/>
    </row>
    <row r="34" spans="1:8" ht="13" thickBot="1">
      <c r="A34" s="35" t="s">
        <v>10</v>
      </c>
      <c r="B34" s="36"/>
      <c r="C34" s="36"/>
      <c r="D34" s="36"/>
      <c r="E34" s="36"/>
      <c r="F34" s="37"/>
      <c r="G34" s="98"/>
      <c r="H34" s="99"/>
    </row>
    <row r="35" spans="1:8">
      <c r="A35" s="38"/>
      <c r="B35" s="39"/>
      <c r="C35" s="39"/>
      <c r="D35" s="39"/>
      <c r="E35" s="39"/>
      <c r="F35" s="40"/>
      <c r="G35" s="40"/>
      <c r="H35" s="40"/>
    </row>
    <row r="36" spans="1:8" ht="13" thickBot="1">
      <c r="A36" s="38"/>
      <c r="B36" s="39"/>
      <c r="C36" s="39"/>
      <c r="D36" s="39"/>
      <c r="E36" s="39"/>
      <c r="F36" s="40"/>
      <c r="G36" s="40"/>
      <c r="H36" s="40"/>
    </row>
    <row r="37" spans="1:8" ht="13" thickBot="1">
      <c r="A37" s="32" t="s">
        <v>14</v>
      </c>
      <c r="B37" s="33">
        <v>2007</v>
      </c>
      <c r="C37" s="33">
        <v>2008</v>
      </c>
      <c r="D37" s="33">
        <v>2009</v>
      </c>
      <c r="E37" s="33">
        <v>2010</v>
      </c>
      <c r="F37" s="34">
        <v>2011</v>
      </c>
      <c r="G37" s="87">
        <v>2012</v>
      </c>
      <c r="H37" s="88">
        <v>2013</v>
      </c>
    </row>
    <row r="38" spans="1:8">
      <c r="A38" s="141" t="s">
        <v>8</v>
      </c>
      <c r="B38" s="142">
        <v>581</v>
      </c>
      <c r="C38" s="142">
        <v>965</v>
      </c>
      <c r="D38" s="142">
        <v>1406</v>
      </c>
      <c r="E38" s="142">
        <v>1670</v>
      </c>
      <c r="F38" s="148">
        <v>2032</v>
      </c>
      <c r="G38" s="162">
        <f>19948/5</f>
        <v>3989.6</v>
      </c>
      <c r="H38" s="164">
        <f>27370/5</f>
        <v>5474</v>
      </c>
    </row>
    <row r="39" spans="1:8">
      <c r="A39" s="138"/>
      <c r="B39" s="143"/>
      <c r="C39" s="143"/>
      <c r="D39" s="143"/>
      <c r="E39" s="143"/>
      <c r="F39" s="149"/>
      <c r="G39" s="163"/>
      <c r="H39" s="165"/>
    </row>
    <row r="40" spans="1:8">
      <c r="A40" s="137" t="s">
        <v>9</v>
      </c>
      <c r="B40" s="146">
        <v>155</v>
      </c>
      <c r="C40" s="146">
        <v>322</v>
      </c>
      <c r="D40" s="146">
        <v>542</v>
      </c>
      <c r="E40" s="146">
        <v>709</v>
      </c>
      <c r="F40" s="153">
        <v>914</v>
      </c>
      <c r="G40" s="166">
        <f>9255/5</f>
        <v>1851</v>
      </c>
      <c r="H40" s="179">
        <f>12888/5</f>
        <v>2577.6</v>
      </c>
    </row>
    <row r="41" spans="1:8">
      <c r="A41" s="138"/>
      <c r="B41" s="143"/>
      <c r="C41" s="143"/>
      <c r="D41" s="143"/>
      <c r="E41" s="143"/>
      <c r="F41" s="149"/>
      <c r="G41" s="163"/>
      <c r="H41" s="165"/>
    </row>
    <row r="42" spans="1:8" ht="13" thickBot="1">
      <c r="A42" s="35" t="s">
        <v>10</v>
      </c>
      <c r="B42" s="36"/>
      <c r="C42" s="36"/>
      <c r="D42" s="36"/>
      <c r="E42" s="36"/>
      <c r="F42" s="37"/>
      <c r="G42" s="98"/>
      <c r="H42" s="99"/>
    </row>
    <row r="43" spans="1:8">
      <c r="A43" s="38"/>
      <c r="B43" s="39"/>
      <c r="C43" s="39"/>
      <c r="D43" s="39"/>
      <c r="E43" s="39"/>
      <c r="F43" s="40"/>
      <c r="G43" s="40"/>
      <c r="H43" s="40"/>
    </row>
    <row r="44" spans="1:8" ht="13" thickBot="1">
      <c r="A44" s="38"/>
      <c r="B44" s="39"/>
      <c r="C44" s="39"/>
      <c r="D44" s="39"/>
      <c r="E44" s="39"/>
      <c r="F44" s="40"/>
      <c r="G44" s="40"/>
      <c r="H44" s="40"/>
    </row>
    <row r="45" spans="1:8" ht="13" thickBot="1">
      <c r="A45" s="32" t="s">
        <v>15</v>
      </c>
      <c r="B45" s="33">
        <v>2007</v>
      </c>
      <c r="C45" s="33">
        <v>2008</v>
      </c>
      <c r="D45" s="33">
        <v>2009</v>
      </c>
      <c r="E45" s="33">
        <v>2010</v>
      </c>
      <c r="F45" s="34">
        <v>2011</v>
      </c>
      <c r="G45" s="87">
        <v>2012</v>
      </c>
      <c r="H45" s="88">
        <v>2013</v>
      </c>
    </row>
    <row r="46" spans="1:8">
      <c r="A46" s="141" t="s">
        <v>8</v>
      </c>
      <c r="B46" s="142">
        <v>550</v>
      </c>
      <c r="C46" s="142">
        <v>820</v>
      </c>
      <c r="D46" s="142">
        <v>1202</v>
      </c>
      <c r="E46" s="142">
        <v>1191</v>
      </c>
      <c r="F46" s="148">
        <v>1685</v>
      </c>
      <c r="G46" s="162">
        <f>19948/5</f>
        <v>3989.6</v>
      </c>
      <c r="H46" s="164">
        <f>27370/5</f>
        <v>5474</v>
      </c>
    </row>
    <row r="47" spans="1:8">
      <c r="A47" s="138"/>
      <c r="B47" s="143"/>
      <c r="C47" s="143"/>
      <c r="D47" s="143"/>
      <c r="E47" s="143"/>
      <c r="F47" s="149"/>
      <c r="G47" s="163"/>
      <c r="H47" s="165"/>
    </row>
    <row r="48" spans="1:8">
      <c r="A48" s="137" t="s">
        <v>9</v>
      </c>
      <c r="B48" s="146">
        <v>51</v>
      </c>
      <c r="C48" s="146">
        <v>275</v>
      </c>
      <c r="D48" s="146">
        <f>C48*1.5</f>
        <v>412.5</v>
      </c>
      <c r="E48" s="146">
        <f t="shared" ref="E48:F48" si="18">D48*1.5</f>
        <v>618.75</v>
      </c>
      <c r="F48" s="146">
        <f t="shared" si="18"/>
        <v>928.125</v>
      </c>
      <c r="G48" s="166">
        <f>9255/5</f>
        <v>1851</v>
      </c>
      <c r="H48" s="179">
        <f>12888/5</f>
        <v>2577.6</v>
      </c>
    </row>
    <row r="49" spans="1:8">
      <c r="A49" s="138"/>
      <c r="B49" s="143"/>
      <c r="C49" s="143"/>
      <c r="D49" s="143"/>
      <c r="E49" s="143"/>
      <c r="F49" s="143"/>
      <c r="G49" s="163"/>
      <c r="H49" s="165"/>
    </row>
    <row r="50" spans="1:8" ht="13" thickBot="1">
      <c r="A50" s="35" t="s">
        <v>10</v>
      </c>
      <c r="B50" s="36"/>
      <c r="C50" s="36"/>
      <c r="D50" s="36"/>
      <c r="E50" s="36"/>
      <c r="F50" s="37"/>
      <c r="G50" s="98"/>
      <c r="H50" s="99"/>
    </row>
    <row r="51" spans="1:8">
      <c r="G51" s="97"/>
      <c r="H51" s="97"/>
    </row>
    <row r="52" spans="1:8" ht="13" thickBot="1">
      <c r="G52" s="97"/>
      <c r="H52" s="97"/>
    </row>
    <row r="53" spans="1:8" ht="13" thickBot="1">
      <c r="A53" s="48" t="s">
        <v>20</v>
      </c>
      <c r="B53" s="49">
        <v>2007</v>
      </c>
      <c r="C53" s="49">
        <v>2008</v>
      </c>
      <c r="D53" s="49">
        <v>2009</v>
      </c>
      <c r="E53" s="49">
        <v>2010</v>
      </c>
      <c r="F53" s="50">
        <v>2011</v>
      </c>
      <c r="G53" s="100">
        <v>2012</v>
      </c>
      <c r="H53" s="101">
        <v>2013</v>
      </c>
    </row>
    <row r="54" spans="1:8">
      <c r="A54" s="135" t="s">
        <v>8</v>
      </c>
      <c r="B54" s="134">
        <f t="shared" ref="B54:H54" si="19">B46+B38+B30+B22+B14+B4</f>
        <v>5909</v>
      </c>
      <c r="C54" s="134">
        <f t="shared" si="19"/>
        <v>9792</v>
      </c>
      <c r="D54" s="134">
        <f t="shared" si="19"/>
        <v>13706</v>
      </c>
      <c r="E54" s="134">
        <f t="shared" si="19"/>
        <v>20446</v>
      </c>
      <c r="F54" s="134">
        <f t="shared" si="19"/>
        <v>28175</v>
      </c>
      <c r="G54" s="134">
        <f t="shared" si="19"/>
        <v>41080.400000000001</v>
      </c>
      <c r="H54" s="176">
        <f t="shared" si="19"/>
        <v>59570</v>
      </c>
    </row>
    <row r="55" spans="1:8">
      <c r="A55" s="136"/>
      <c r="B55" s="133"/>
      <c r="C55" s="133"/>
      <c r="D55" s="133"/>
      <c r="E55" s="133"/>
      <c r="F55" s="133"/>
      <c r="G55" s="133"/>
      <c r="H55" s="177"/>
    </row>
    <row r="56" spans="1:8">
      <c r="A56" s="147" t="s">
        <v>9</v>
      </c>
      <c r="B56" s="132">
        <f t="shared" ref="B56:H56" si="20">B48+B40+B32+B24+B16+B6</f>
        <v>1765</v>
      </c>
      <c r="C56" s="132">
        <f>C48+C40+C32+C24+C16+C6</f>
        <v>4515</v>
      </c>
      <c r="D56" s="132">
        <f t="shared" si="20"/>
        <v>7907.5</v>
      </c>
      <c r="E56" s="132">
        <f t="shared" si="20"/>
        <v>14703.75</v>
      </c>
      <c r="F56" s="132">
        <f t="shared" si="20"/>
        <v>20990.125</v>
      </c>
      <c r="G56" s="132">
        <f t="shared" si="20"/>
        <v>26219.8</v>
      </c>
      <c r="H56" s="178">
        <f t="shared" si="20"/>
        <v>40488</v>
      </c>
    </row>
    <row r="57" spans="1:8">
      <c r="A57" s="136"/>
      <c r="B57" s="133"/>
      <c r="C57" s="133"/>
      <c r="D57" s="133"/>
      <c r="E57" s="133"/>
      <c r="F57" s="133"/>
      <c r="G57" s="133"/>
      <c r="H57" s="177"/>
    </row>
    <row r="58" spans="1:8" ht="13" thickBot="1">
      <c r="A58" s="51" t="s">
        <v>10</v>
      </c>
      <c r="B58" s="52"/>
      <c r="C58" s="52"/>
      <c r="D58" s="52"/>
      <c r="E58" s="52"/>
      <c r="F58" s="53"/>
      <c r="G58" s="102"/>
      <c r="H58" s="103"/>
    </row>
    <row r="63" spans="1:8" ht="13" thickBot="1">
      <c r="A63" t="s">
        <v>99</v>
      </c>
    </row>
    <row r="64" spans="1:8" ht="13" thickBot="1">
      <c r="A64" s="32" t="s">
        <v>95</v>
      </c>
      <c r="B64" s="41">
        <v>2007</v>
      </c>
      <c r="C64" s="41">
        <v>2008</v>
      </c>
      <c r="D64" s="41">
        <v>2009</v>
      </c>
      <c r="E64" s="41">
        <v>2010</v>
      </c>
      <c r="F64" s="42">
        <v>2011</v>
      </c>
      <c r="G64" s="85">
        <v>2012</v>
      </c>
      <c r="H64" s="86">
        <v>2013</v>
      </c>
    </row>
    <row r="65" spans="1:18">
      <c r="A65" t="s">
        <v>94</v>
      </c>
      <c r="B65">
        <f>B4</f>
        <v>2560</v>
      </c>
      <c r="C65">
        <f t="shared" ref="C65:H65" si="21">C4</f>
        <v>4844</v>
      </c>
      <c r="D65">
        <f t="shared" si="21"/>
        <v>7337</v>
      </c>
      <c r="E65">
        <f t="shared" si="21"/>
        <v>12765</v>
      </c>
      <c r="F65">
        <f t="shared" si="21"/>
        <v>18193</v>
      </c>
      <c r="G65">
        <f t="shared" si="21"/>
        <v>21132.400000000001</v>
      </c>
      <c r="H65">
        <f t="shared" si="21"/>
        <v>32200</v>
      </c>
    </row>
    <row r="66" spans="1:18">
      <c r="A66" t="s">
        <v>96</v>
      </c>
      <c r="B66" s="81">
        <f>B14</f>
        <v>394</v>
      </c>
      <c r="C66" s="81">
        <f t="shared" ref="C66:H66" si="22">C14</f>
        <v>665</v>
      </c>
      <c r="D66" s="81">
        <f t="shared" si="22"/>
        <v>1049</v>
      </c>
      <c r="E66" s="81">
        <f t="shared" si="22"/>
        <v>1592</v>
      </c>
      <c r="F66" s="81">
        <f t="shared" si="22"/>
        <v>1966</v>
      </c>
      <c r="G66" s="81">
        <f t="shared" si="22"/>
        <v>3989.6</v>
      </c>
      <c r="H66" s="81">
        <f t="shared" si="22"/>
        <v>5474</v>
      </c>
    </row>
    <row r="67" spans="1:18">
      <c r="A67" t="s">
        <v>152</v>
      </c>
      <c r="B67" s="81">
        <f>B22</f>
        <v>998</v>
      </c>
      <c r="C67" s="81">
        <f t="shared" ref="C67:H67" si="23">C22</f>
        <v>1386</v>
      </c>
      <c r="D67" s="81">
        <f t="shared" si="23"/>
        <v>1734</v>
      </c>
      <c r="E67" s="81">
        <f t="shared" si="23"/>
        <v>1966</v>
      </c>
      <c r="F67" s="81">
        <f t="shared" si="23"/>
        <v>2514</v>
      </c>
      <c r="G67" s="81">
        <f t="shared" si="23"/>
        <v>3989.6</v>
      </c>
      <c r="H67" s="81">
        <f t="shared" si="23"/>
        <v>5474</v>
      </c>
    </row>
    <row r="68" spans="1:18">
      <c r="A68" t="s">
        <v>97</v>
      </c>
      <c r="B68" s="81">
        <f>B30</f>
        <v>826</v>
      </c>
      <c r="C68" s="81">
        <f t="shared" ref="C68:H68" si="24">C30</f>
        <v>1112</v>
      </c>
      <c r="D68" s="81">
        <f t="shared" si="24"/>
        <v>978</v>
      </c>
      <c r="E68" s="81">
        <f t="shared" si="24"/>
        <v>1262</v>
      </c>
      <c r="F68" s="81">
        <f t="shared" si="24"/>
        <v>1785</v>
      </c>
      <c r="G68" s="81">
        <f t="shared" si="24"/>
        <v>3989.6</v>
      </c>
      <c r="H68" s="81">
        <f t="shared" si="24"/>
        <v>5474</v>
      </c>
    </row>
    <row r="69" spans="1:18">
      <c r="A69" t="s">
        <v>98</v>
      </c>
      <c r="B69" s="81">
        <f>B38</f>
        <v>581</v>
      </c>
      <c r="C69" s="81">
        <f t="shared" ref="C69:H69" si="25">C38</f>
        <v>965</v>
      </c>
      <c r="D69" s="81">
        <f t="shared" si="25"/>
        <v>1406</v>
      </c>
      <c r="E69" s="81">
        <f t="shared" si="25"/>
        <v>1670</v>
      </c>
      <c r="F69" s="81">
        <f t="shared" si="25"/>
        <v>2032</v>
      </c>
      <c r="G69" s="81">
        <f t="shared" si="25"/>
        <v>3989.6</v>
      </c>
      <c r="H69" s="81">
        <f t="shared" si="25"/>
        <v>5474</v>
      </c>
    </row>
    <row r="70" spans="1:18">
      <c r="A70" t="s">
        <v>155</v>
      </c>
      <c r="B70" s="81">
        <f>B46</f>
        <v>550</v>
      </c>
      <c r="C70" s="81">
        <f t="shared" ref="C70:H70" si="26">C46</f>
        <v>820</v>
      </c>
      <c r="D70" s="81">
        <f t="shared" si="26"/>
        <v>1202</v>
      </c>
      <c r="E70" s="81">
        <f t="shared" si="26"/>
        <v>1191</v>
      </c>
      <c r="F70" s="81">
        <f t="shared" si="26"/>
        <v>1685</v>
      </c>
      <c r="G70" s="81">
        <f t="shared" si="26"/>
        <v>3989.6</v>
      </c>
      <c r="H70" s="81">
        <f t="shared" si="26"/>
        <v>5474</v>
      </c>
    </row>
    <row r="73" spans="1:18" ht="13" thickBot="1">
      <c r="A73" t="s">
        <v>100</v>
      </c>
      <c r="J73" s="17" t="s">
        <v>125</v>
      </c>
    </row>
    <row r="74" spans="1:18" ht="13" thickBot="1">
      <c r="A74" s="32"/>
      <c r="B74" s="41">
        <v>2007</v>
      </c>
      <c r="C74" s="41">
        <v>2008</v>
      </c>
      <c r="D74" s="41">
        <v>2009</v>
      </c>
      <c r="E74" s="41">
        <v>2010</v>
      </c>
      <c r="F74" s="42">
        <v>2011</v>
      </c>
      <c r="G74" s="85">
        <v>2012</v>
      </c>
      <c r="H74" s="86">
        <v>2013</v>
      </c>
      <c r="J74" s="116" t="s">
        <v>126</v>
      </c>
      <c r="K74" s="116" t="s">
        <v>127</v>
      </c>
      <c r="L74" s="115" t="s">
        <v>128</v>
      </c>
      <c r="M74" s="115" t="s">
        <v>172</v>
      </c>
      <c r="N74" s="115" t="s">
        <v>129</v>
      </c>
      <c r="O74" s="115" t="s">
        <v>130</v>
      </c>
      <c r="P74" s="115" t="s">
        <v>131</v>
      </c>
      <c r="Q74" s="115" t="s">
        <v>132</v>
      </c>
      <c r="R74" s="115" t="s">
        <v>133</v>
      </c>
    </row>
    <row r="75" spans="1:18">
      <c r="A75" t="s">
        <v>94</v>
      </c>
      <c r="B75">
        <f>B6</f>
        <v>1100</v>
      </c>
      <c r="C75">
        <f t="shared" ref="C75:H75" si="27">C6</f>
        <v>3136</v>
      </c>
      <c r="D75">
        <f t="shared" si="27"/>
        <v>5822</v>
      </c>
      <c r="E75">
        <f t="shared" si="27"/>
        <v>11637</v>
      </c>
      <c r="F75">
        <f t="shared" si="27"/>
        <v>16509</v>
      </c>
      <c r="G75">
        <f t="shared" si="27"/>
        <v>16964.8</v>
      </c>
      <c r="H75">
        <f t="shared" si="27"/>
        <v>27600</v>
      </c>
      <c r="J75" s="114" t="s">
        <v>142</v>
      </c>
      <c r="K75" s="108">
        <f>K4</f>
        <v>1375816</v>
      </c>
      <c r="L75" s="108">
        <f t="shared" ref="L75:R75" si="28">L4</f>
        <v>394000</v>
      </c>
      <c r="M75" s="108">
        <f t="shared" si="28"/>
        <v>665000</v>
      </c>
      <c r="N75" s="108">
        <f t="shared" si="28"/>
        <v>1049000</v>
      </c>
      <c r="O75" s="108">
        <f t="shared" si="28"/>
        <v>1592000</v>
      </c>
      <c r="P75" s="108">
        <f t="shared" si="28"/>
        <v>1966000</v>
      </c>
      <c r="Q75" s="108">
        <f t="shared" si="28"/>
        <v>3989600</v>
      </c>
      <c r="R75" s="108">
        <f t="shared" si="28"/>
        <v>5474000</v>
      </c>
    </row>
    <row r="76" spans="1:18">
      <c r="A76" t="s">
        <v>101</v>
      </c>
      <c r="B76" s="81">
        <f>SUM(B77:B81)</f>
        <v>665</v>
      </c>
      <c r="C76" s="81">
        <f t="shared" ref="C76:H76" si="29">SUM(C77:C81)</f>
        <v>1379</v>
      </c>
      <c r="D76" s="81">
        <f t="shared" si="29"/>
        <v>2085.5</v>
      </c>
      <c r="E76" s="81">
        <f t="shared" si="29"/>
        <v>3066.75</v>
      </c>
      <c r="F76" s="81">
        <f t="shared" si="29"/>
        <v>4481.125</v>
      </c>
      <c r="G76" s="81">
        <f t="shared" si="29"/>
        <v>9255</v>
      </c>
      <c r="H76" s="81">
        <f t="shared" si="29"/>
        <v>12888</v>
      </c>
      <c r="J76" s="114" t="s">
        <v>147</v>
      </c>
      <c r="K76" s="108">
        <f>K5</f>
        <v>2341916</v>
      </c>
      <c r="L76" s="108">
        <f t="shared" ref="L76:R76" si="30">L5</f>
        <v>998000</v>
      </c>
      <c r="M76" s="108">
        <f t="shared" si="30"/>
        <v>1386000</v>
      </c>
      <c r="N76" s="108">
        <f t="shared" si="30"/>
        <v>1734000</v>
      </c>
      <c r="O76" s="108">
        <f t="shared" si="30"/>
        <v>1966000</v>
      </c>
      <c r="P76" s="108">
        <f t="shared" si="30"/>
        <v>2514000</v>
      </c>
      <c r="Q76" s="108">
        <f t="shared" si="30"/>
        <v>3989600</v>
      </c>
      <c r="R76" s="108">
        <f t="shared" si="30"/>
        <v>5474000</v>
      </c>
    </row>
    <row r="77" spans="1:18">
      <c r="A77" t="s">
        <v>96</v>
      </c>
      <c r="B77" s="81">
        <f>B16</f>
        <v>103</v>
      </c>
      <c r="C77" s="81">
        <f t="shared" ref="C77:H77" si="31">C16</f>
        <v>244</v>
      </c>
      <c r="D77" s="81">
        <f t="shared" si="31"/>
        <v>445</v>
      </c>
      <c r="E77" s="81">
        <f t="shared" si="31"/>
        <v>727</v>
      </c>
      <c r="F77" s="81">
        <f t="shared" si="31"/>
        <v>1024</v>
      </c>
      <c r="G77" s="81">
        <f t="shared" si="31"/>
        <v>1851</v>
      </c>
      <c r="H77" s="81">
        <f t="shared" si="31"/>
        <v>2577.6</v>
      </c>
      <c r="J77" s="114" t="s">
        <v>144</v>
      </c>
      <c r="K77" s="108">
        <f>K6</f>
        <v>4770976</v>
      </c>
      <c r="L77" s="108">
        <f t="shared" ref="L77:R77" si="32">L6</f>
        <v>826000</v>
      </c>
      <c r="M77" s="108">
        <f t="shared" si="32"/>
        <v>1112000</v>
      </c>
      <c r="N77" s="108">
        <f t="shared" si="32"/>
        <v>978000</v>
      </c>
      <c r="O77" s="108">
        <f t="shared" si="32"/>
        <v>1262000</v>
      </c>
      <c r="P77" s="108">
        <f t="shared" si="32"/>
        <v>1785000</v>
      </c>
      <c r="Q77" s="108">
        <f t="shared" si="32"/>
        <v>3989600</v>
      </c>
      <c r="R77" s="108">
        <f t="shared" si="32"/>
        <v>5474000</v>
      </c>
    </row>
    <row r="78" spans="1:18">
      <c r="A78" t="s">
        <v>152</v>
      </c>
      <c r="B78" s="81">
        <f>B24</f>
        <v>143</v>
      </c>
      <c r="C78" s="81">
        <f t="shared" ref="C78:H78" si="33">C24</f>
        <v>256</v>
      </c>
      <c r="D78" s="81">
        <f t="shared" si="33"/>
        <v>328</v>
      </c>
      <c r="E78" s="81">
        <f t="shared" si="33"/>
        <v>650</v>
      </c>
      <c r="F78" s="81">
        <f t="shared" si="33"/>
        <v>1103</v>
      </c>
      <c r="G78" s="81">
        <f t="shared" si="33"/>
        <v>1851</v>
      </c>
      <c r="H78" s="81">
        <f t="shared" si="33"/>
        <v>2577.6</v>
      </c>
      <c r="J78" s="114" t="s">
        <v>143</v>
      </c>
      <c r="K78" s="108">
        <f>K7</f>
        <v>4677868</v>
      </c>
      <c r="L78" s="108">
        <f t="shared" ref="L78:R78" si="34">L7</f>
        <v>581000</v>
      </c>
      <c r="M78" s="108">
        <f t="shared" si="34"/>
        <v>965000</v>
      </c>
      <c r="N78" s="108">
        <f t="shared" si="34"/>
        <v>1406000</v>
      </c>
      <c r="O78" s="108">
        <f t="shared" si="34"/>
        <v>1670000</v>
      </c>
      <c r="P78" s="108">
        <f t="shared" si="34"/>
        <v>2032000</v>
      </c>
      <c r="Q78" s="108">
        <f t="shared" si="34"/>
        <v>3989600</v>
      </c>
      <c r="R78" s="108">
        <f t="shared" si="34"/>
        <v>5474000</v>
      </c>
    </row>
    <row r="79" spans="1:18">
      <c r="A79" t="s">
        <v>97</v>
      </c>
      <c r="B79" s="81">
        <f>B32</f>
        <v>213</v>
      </c>
      <c r="C79" s="81">
        <f t="shared" ref="C79:H79" si="35">C32</f>
        <v>282</v>
      </c>
      <c r="D79" s="81">
        <f t="shared" si="35"/>
        <v>358</v>
      </c>
      <c r="E79" s="81">
        <f t="shared" si="35"/>
        <v>362</v>
      </c>
      <c r="F79" s="81">
        <f t="shared" si="35"/>
        <v>512</v>
      </c>
      <c r="G79" s="81">
        <f t="shared" si="35"/>
        <v>1851</v>
      </c>
      <c r="H79" s="81">
        <f t="shared" si="35"/>
        <v>2577.6</v>
      </c>
      <c r="J79" s="114" t="s">
        <v>145</v>
      </c>
      <c r="K79" s="108">
        <f>K8</f>
        <v>1171567.764</v>
      </c>
      <c r="L79" s="108">
        <f t="shared" ref="L79:R79" si="36">L8</f>
        <v>550000</v>
      </c>
      <c r="M79" s="108">
        <f t="shared" si="36"/>
        <v>820000</v>
      </c>
      <c r="N79" s="108">
        <f t="shared" si="36"/>
        <v>1202000</v>
      </c>
      <c r="O79" s="108">
        <f t="shared" si="36"/>
        <v>1191000</v>
      </c>
      <c r="P79" s="108">
        <f t="shared" si="36"/>
        <v>1685000</v>
      </c>
      <c r="Q79" s="108">
        <f t="shared" si="36"/>
        <v>3989600</v>
      </c>
      <c r="R79" s="108">
        <f t="shared" si="36"/>
        <v>5474000</v>
      </c>
    </row>
    <row r="80" spans="1:18">
      <c r="A80" t="s">
        <v>98</v>
      </c>
      <c r="B80" s="81">
        <f>B40</f>
        <v>155</v>
      </c>
      <c r="C80" s="81">
        <f t="shared" ref="C80:H80" si="37">C40</f>
        <v>322</v>
      </c>
      <c r="D80" s="81">
        <f t="shared" si="37"/>
        <v>542</v>
      </c>
      <c r="E80" s="81">
        <f t="shared" si="37"/>
        <v>709</v>
      </c>
      <c r="F80" s="81">
        <f t="shared" si="37"/>
        <v>914</v>
      </c>
      <c r="G80" s="81">
        <f t="shared" si="37"/>
        <v>1851</v>
      </c>
      <c r="H80" s="81">
        <f t="shared" si="37"/>
        <v>2577.6</v>
      </c>
      <c r="J80" s="114" t="s">
        <v>134</v>
      </c>
      <c r="K80" s="3">
        <f>SUM(K75:K79)</f>
        <v>14338143.764</v>
      </c>
      <c r="L80" s="3">
        <f t="shared" ref="L80:R80" si="38">SUM(L75:L79)</f>
        <v>3349000</v>
      </c>
      <c r="M80" s="3">
        <f t="shared" si="38"/>
        <v>4948000</v>
      </c>
      <c r="N80" s="3">
        <f t="shared" si="38"/>
        <v>6369000</v>
      </c>
      <c r="O80" s="3">
        <f t="shared" si="38"/>
        <v>7681000</v>
      </c>
      <c r="P80" s="3">
        <f t="shared" si="38"/>
        <v>9982000</v>
      </c>
      <c r="Q80" s="3">
        <f t="shared" si="38"/>
        <v>19948000</v>
      </c>
      <c r="R80" s="3">
        <f t="shared" si="38"/>
        <v>27370000</v>
      </c>
    </row>
    <row r="81" spans="1:20">
      <c r="A81" t="s">
        <v>155</v>
      </c>
      <c r="B81" s="81">
        <f>B48</f>
        <v>51</v>
      </c>
      <c r="C81" s="81">
        <f t="shared" ref="C81:H81" si="39">C48</f>
        <v>275</v>
      </c>
      <c r="D81" s="81">
        <f t="shared" si="39"/>
        <v>412.5</v>
      </c>
      <c r="E81" s="81">
        <f t="shared" si="39"/>
        <v>618.75</v>
      </c>
      <c r="F81" s="81">
        <f t="shared" si="39"/>
        <v>928.125</v>
      </c>
      <c r="G81" s="81">
        <f t="shared" si="39"/>
        <v>1851</v>
      </c>
      <c r="H81" s="81">
        <f t="shared" si="39"/>
        <v>2577.6</v>
      </c>
    </row>
    <row r="83" spans="1:20">
      <c r="J83" s="17" t="s">
        <v>160</v>
      </c>
    </row>
    <row r="84" spans="1:20">
      <c r="J84" s="116" t="s">
        <v>161</v>
      </c>
      <c r="K84" s="116" t="s">
        <v>118</v>
      </c>
      <c r="L84" s="116" t="s">
        <v>162</v>
      </c>
      <c r="M84" s="116" t="s">
        <v>163</v>
      </c>
      <c r="N84" s="116" t="s">
        <v>119</v>
      </c>
      <c r="O84" s="116" t="s">
        <v>120</v>
      </c>
      <c r="P84" s="116" t="s">
        <v>121</v>
      </c>
      <c r="Q84" s="116" t="s">
        <v>122</v>
      </c>
      <c r="R84" s="116" t="s">
        <v>123</v>
      </c>
      <c r="S84" s="17" t="s">
        <v>93</v>
      </c>
      <c r="T84" s="17" t="s">
        <v>92</v>
      </c>
    </row>
    <row r="85" spans="1:20">
      <c r="J85" t="str">
        <f>J4</f>
        <v>NET2</v>
      </c>
      <c r="K85">
        <f>S4</f>
        <v>170</v>
      </c>
      <c r="L85" s="81">
        <f>T4</f>
        <v>103</v>
      </c>
      <c r="M85" s="81">
        <f>U4</f>
        <v>244</v>
      </c>
      <c r="N85" s="81">
        <f t="shared" ref="N85:O89" si="40">V4</f>
        <v>445</v>
      </c>
      <c r="O85" s="81">
        <f t="shared" si="40"/>
        <v>727</v>
      </c>
      <c r="P85" s="81">
        <f t="shared" ref="P85:P89" si="41">X4</f>
        <v>1024</v>
      </c>
      <c r="Q85" s="81">
        <f t="shared" ref="Q85:R89" si="42">Y4</f>
        <v>1851</v>
      </c>
      <c r="R85" s="81">
        <f t="shared" si="42"/>
        <v>2577.6</v>
      </c>
    </row>
    <row r="86" spans="1:20">
      <c r="J86" t="str">
        <f t="shared" ref="J86:J89" si="43">J5</f>
        <v>SWT2</v>
      </c>
      <c r="K86">
        <f t="shared" ref="K86:K89" si="44">S5</f>
        <v>263</v>
      </c>
      <c r="L86" s="81">
        <f t="shared" ref="L86:L89" si="45">T5</f>
        <v>143</v>
      </c>
      <c r="M86" s="81">
        <f t="shared" ref="M86:M89" si="46">U5</f>
        <v>256</v>
      </c>
      <c r="N86" s="81">
        <f t="shared" si="40"/>
        <v>328</v>
      </c>
      <c r="O86" s="81">
        <f t="shared" si="40"/>
        <v>650</v>
      </c>
      <c r="P86" s="81">
        <f t="shared" si="41"/>
        <v>1103</v>
      </c>
      <c r="Q86" s="81">
        <f t="shared" si="42"/>
        <v>1851</v>
      </c>
      <c r="R86" s="81">
        <f t="shared" si="42"/>
        <v>2577.6</v>
      </c>
    </row>
    <row r="87" spans="1:20">
      <c r="J87" t="str">
        <f t="shared" si="43"/>
        <v>MWT2</v>
      </c>
      <c r="K87">
        <f t="shared" si="44"/>
        <v>524</v>
      </c>
      <c r="L87" s="81">
        <f t="shared" si="45"/>
        <v>213</v>
      </c>
      <c r="M87" s="81">
        <f t="shared" si="46"/>
        <v>282</v>
      </c>
      <c r="N87" s="81">
        <f t="shared" si="40"/>
        <v>358</v>
      </c>
      <c r="O87" s="81">
        <f t="shared" si="40"/>
        <v>362</v>
      </c>
      <c r="P87" s="81">
        <f t="shared" si="41"/>
        <v>512</v>
      </c>
      <c r="Q87" s="81">
        <f t="shared" si="42"/>
        <v>1851</v>
      </c>
      <c r="R87" s="81">
        <f t="shared" si="42"/>
        <v>2577.6</v>
      </c>
    </row>
    <row r="88" spans="1:20">
      <c r="J88" t="str">
        <f t="shared" si="43"/>
        <v>AGLT2</v>
      </c>
      <c r="K88">
        <f t="shared" si="44"/>
        <v>570</v>
      </c>
      <c r="L88" s="81">
        <f t="shared" si="45"/>
        <v>155</v>
      </c>
      <c r="M88" s="81">
        <f t="shared" si="46"/>
        <v>322</v>
      </c>
      <c r="N88" s="81">
        <f t="shared" si="40"/>
        <v>542</v>
      </c>
      <c r="O88" s="81">
        <f t="shared" si="40"/>
        <v>709</v>
      </c>
      <c r="P88" s="81">
        <f t="shared" si="41"/>
        <v>914</v>
      </c>
      <c r="Q88" s="81">
        <f t="shared" si="42"/>
        <v>1851</v>
      </c>
      <c r="R88" s="81">
        <f t="shared" si="42"/>
        <v>2577.6</v>
      </c>
    </row>
    <row r="89" spans="1:20">
      <c r="J89" t="str">
        <f t="shared" si="43"/>
        <v>WT2</v>
      </c>
      <c r="K89">
        <f t="shared" si="44"/>
        <v>275</v>
      </c>
      <c r="L89" s="81">
        <f t="shared" si="45"/>
        <v>51</v>
      </c>
      <c r="M89" s="81">
        <f t="shared" si="46"/>
        <v>275</v>
      </c>
      <c r="N89" s="81">
        <f t="shared" si="40"/>
        <v>412.5</v>
      </c>
      <c r="O89" s="81">
        <f t="shared" ref="O89" si="47">W8</f>
        <v>618.75</v>
      </c>
      <c r="P89" s="81">
        <f t="shared" si="41"/>
        <v>928.125</v>
      </c>
      <c r="Q89" s="81">
        <f t="shared" si="42"/>
        <v>1851</v>
      </c>
      <c r="R89" s="81">
        <f t="shared" si="42"/>
        <v>2577.6</v>
      </c>
    </row>
    <row r="90" spans="1:20">
      <c r="J90" t="s">
        <v>165</v>
      </c>
      <c r="S90">
        <v>289</v>
      </c>
      <c r="T90">
        <v>371</v>
      </c>
    </row>
    <row r="91" spans="1:20">
      <c r="J91" t="s">
        <v>164</v>
      </c>
      <c r="S91">
        <v>353</v>
      </c>
      <c r="T91">
        <v>435</v>
      </c>
    </row>
    <row r="92" spans="1:20">
      <c r="J92" t="s">
        <v>124</v>
      </c>
      <c r="K92">
        <f>SUM(K85:K89)</f>
        <v>1802</v>
      </c>
    </row>
    <row r="143" spans="1:8" ht="13" thickBot="1">
      <c r="A143" t="s">
        <v>91</v>
      </c>
    </row>
    <row r="144" spans="1:8" ht="13" thickBot="1">
      <c r="A144" s="32"/>
      <c r="B144" s="41">
        <v>2007</v>
      </c>
      <c r="C144" s="41">
        <v>2008</v>
      </c>
      <c r="D144" s="41">
        <v>2009</v>
      </c>
      <c r="E144" s="41">
        <v>2010</v>
      </c>
      <c r="F144" s="42">
        <v>2011</v>
      </c>
      <c r="G144" s="85">
        <v>2012</v>
      </c>
      <c r="H144" s="86">
        <v>2013</v>
      </c>
    </row>
    <row r="145" spans="1:8">
      <c r="A145" t="s">
        <v>142</v>
      </c>
      <c r="B145" s="81">
        <v>103</v>
      </c>
      <c r="C145" s="81">
        <v>244</v>
      </c>
      <c r="D145" s="81">
        <v>445</v>
      </c>
      <c r="E145" s="81">
        <v>727</v>
      </c>
      <c r="F145" s="81">
        <v>1024</v>
      </c>
      <c r="G145" s="81">
        <v>1851</v>
      </c>
      <c r="H145" s="81">
        <v>2577.6</v>
      </c>
    </row>
    <row r="146" spans="1:8">
      <c r="A146" t="s">
        <v>147</v>
      </c>
      <c r="B146" s="81">
        <v>143</v>
      </c>
      <c r="C146" s="81">
        <v>256</v>
      </c>
      <c r="D146" s="81">
        <v>328</v>
      </c>
      <c r="E146" s="81">
        <v>650</v>
      </c>
      <c r="F146" s="81">
        <v>1103</v>
      </c>
      <c r="G146" s="81">
        <v>1851</v>
      </c>
      <c r="H146" s="81">
        <v>2577.6</v>
      </c>
    </row>
    <row r="147" spans="1:8">
      <c r="A147" t="s">
        <v>144</v>
      </c>
      <c r="B147" s="81">
        <v>213</v>
      </c>
      <c r="C147" s="81">
        <v>282</v>
      </c>
      <c r="D147" s="81">
        <v>358</v>
      </c>
      <c r="E147" s="81">
        <v>362</v>
      </c>
      <c r="F147" s="81">
        <v>512</v>
      </c>
      <c r="G147" s="81">
        <v>1851</v>
      </c>
      <c r="H147" s="81">
        <v>2577.6</v>
      </c>
    </row>
    <row r="148" spans="1:8">
      <c r="A148" t="s">
        <v>143</v>
      </c>
      <c r="B148" s="81">
        <v>155</v>
      </c>
      <c r="C148" s="81">
        <v>322</v>
      </c>
      <c r="D148" s="81">
        <v>542</v>
      </c>
      <c r="E148" s="81">
        <v>709</v>
      </c>
      <c r="F148" s="81">
        <v>914</v>
      </c>
      <c r="G148" s="81">
        <v>1851</v>
      </c>
      <c r="H148" s="81">
        <v>2577.6</v>
      </c>
    </row>
    <row r="149" spans="1:8">
      <c r="A149" t="s">
        <v>145</v>
      </c>
      <c r="B149" s="81">
        <v>228</v>
      </c>
      <c r="C149" s="81">
        <v>462</v>
      </c>
      <c r="D149" s="81">
        <v>794</v>
      </c>
      <c r="E149" s="81">
        <v>1034</v>
      </c>
      <c r="F149" s="81">
        <v>1462</v>
      </c>
      <c r="G149" s="81">
        <v>1851</v>
      </c>
      <c r="H149" s="81">
        <v>2577.6</v>
      </c>
    </row>
  </sheetData>
  <sheetCalcPr fullCalcOnLoad="1"/>
  <mergeCells count="120">
    <mergeCell ref="G54:G55"/>
    <mergeCell ref="H54:H55"/>
    <mergeCell ref="G56:G57"/>
    <mergeCell ref="H56:H57"/>
    <mergeCell ref="G40:G41"/>
    <mergeCell ref="H40:H41"/>
    <mergeCell ref="G46:G47"/>
    <mergeCell ref="F6:F7"/>
    <mergeCell ref="H16:H17"/>
    <mergeCell ref="G22:G23"/>
    <mergeCell ref="H22:H23"/>
    <mergeCell ref="G24:G25"/>
    <mergeCell ref="H24:H25"/>
    <mergeCell ref="G48:G49"/>
    <mergeCell ref="H48:H49"/>
    <mergeCell ref="G30:G31"/>
    <mergeCell ref="H30:H31"/>
    <mergeCell ref="G32:G33"/>
    <mergeCell ref="H46:H47"/>
    <mergeCell ref="H32:H33"/>
    <mergeCell ref="G38:G39"/>
    <mergeCell ref="H38:H39"/>
    <mergeCell ref="G8:G9"/>
    <mergeCell ref="H8:H9"/>
    <mergeCell ref="G4:G5"/>
    <mergeCell ref="H4:H5"/>
    <mergeCell ref="G6:G7"/>
    <mergeCell ref="H6:H7"/>
    <mergeCell ref="G14:G15"/>
    <mergeCell ref="H14:H15"/>
    <mergeCell ref="G16:G17"/>
    <mergeCell ref="D14:D15"/>
    <mergeCell ref="A16:A17"/>
    <mergeCell ref="B16:B17"/>
    <mergeCell ref="C16:C17"/>
    <mergeCell ref="D16:D17"/>
    <mergeCell ref="F4:F5"/>
    <mergeCell ref="C6:C7"/>
    <mergeCell ref="D6:D7"/>
    <mergeCell ref="E6:E7"/>
    <mergeCell ref="F16:F17"/>
    <mergeCell ref="A4:A5"/>
    <mergeCell ref="B4:B5"/>
    <mergeCell ref="E8:E9"/>
    <mergeCell ref="C4:C5"/>
    <mergeCell ref="D4:D5"/>
    <mergeCell ref="E4:E5"/>
    <mergeCell ref="A8:A9"/>
    <mergeCell ref="C8:C9"/>
    <mergeCell ref="D8:D9"/>
    <mergeCell ref="E46:E47"/>
    <mergeCell ref="F8:F9"/>
    <mergeCell ref="E48:E49"/>
    <mergeCell ref="F46:F47"/>
    <mergeCell ref="C32:C33"/>
    <mergeCell ref="D32:D33"/>
    <mergeCell ref="E32:E33"/>
    <mergeCell ref="F40:F41"/>
    <mergeCell ref="F32:F33"/>
    <mergeCell ref="F38:F39"/>
    <mergeCell ref="C38:C39"/>
    <mergeCell ref="C40:C41"/>
    <mergeCell ref="D40:D41"/>
    <mergeCell ref="E40:E41"/>
    <mergeCell ref="E30:E31"/>
    <mergeCell ref="E24:E25"/>
    <mergeCell ref="F22:F23"/>
    <mergeCell ref="F24:F25"/>
    <mergeCell ref="C30:C31"/>
    <mergeCell ref="D30:D31"/>
    <mergeCell ref="C24:C25"/>
    <mergeCell ref="D24:D25"/>
    <mergeCell ref="B32:B33"/>
    <mergeCell ref="A32:A33"/>
    <mergeCell ref="A14:A15"/>
    <mergeCell ref="B14:B15"/>
    <mergeCell ref="C14:C15"/>
    <mergeCell ref="F48:F49"/>
    <mergeCell ref="F14:F15"/>
    <mergeCell ref="C22:C23"/>
    <mergeCell ref="C48:C49"/>
    <mergeCell ref="D48:D49"/>
    <mergeCell ref="A30:A31"/>
    <mergeCell ref="B30:B31"/>
    <mergeCell ref="A24:A25"/>
    <mergeCell ref="B24:B25"/>
    <mergeCell ref="F30:F31"/>
    <mergeCell ref="A6:A7"/>
    <mergeCell ref="B6:B7"/>
    <mergeCell ref="E56:E57"/>
    <mergeCell ref="A46:A47"/>
    <mergeCell ref="B46:B47"/>
    <mergeCell ref="E22:E23"/>
    <mergeCell ref="C46:C47"/>
    <mergeCell ref="D46:D47"/>
    <mergeCell ref="E38:E39"/>
    <mergeCell ref="D38:D39"/>
    <mergeCell ref="B8:B9"/>
    <mergeCell ref="E16:E17"/>
    <mergeCell ref="E14:E15"/>
    <mergeCell ref="D22:D23"/>
    <mergeCell ref="A48:A49"/>
    <mergeCell ref="B48:B49"/>
    <mergeCell ref="A22:A23"/>
    <mergeCell ref="B22:B23"/>
    <mergeCell ref="A56:A57"/>
    <mergeCell ref="B56:B57"/>
    <mergeCell ref="A38:A39"/>
    <mergeCell ref="B38:B39"/>
    <mergeCell ref="A40:A41"/>
    <mergeCell ref="B40:B41"/>
    <mergeCell ref="F56:F57"/>
    <mergeCell ref="C54:C55"/>
    <mergeCell ref="D54:D55"/>
    <mergeCell ref="E54:E55"/>
    <mergeCell ref="F54:F55"/>
    <mergeCell ref="C56:C57"/>
    <mergeCell ref="D56:D57"/>
    <mergeCell ref="A54:A55"/>
    <mergeCell ref="B54:B55"/>
  </mergeCells>
  <phoneticPr fontId="4" type="noConversion"/>
  <pageMargins left="0.75" right="0.75" top="1" bottom="1" header="0.5" footer="0.5"/>
  <rowBreaks count="1" manualBreakCount="1">
    <brk id="58" max="16383" man="1"/>
  </rowBreaks>
  <colBreaks count="1" manualBreakCount="1">
    <brk id="8" max="1048575" man="1"/>
  </colBreaks>
  <drawing r:id="rId1"/>
  <legacyDrawing r:id="rId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v11</vt:lpstr>
      <vt:lpstr>v10</vt:lpstr>
      <vt:lpstr>WLCG</vt:lpstr>
    </vt:vector>
  </TitlesOfParts>
  <Company>Fermi National Accelerator Laboratory</Company>
  <LinksUpToDate>false</LinksUpToDate>
  <SharedDoc>false</SharedDoc>
  <HyperlinksChanged>false</HyperlinksChanged>
  <AppVersion>12.0257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Weigand</dc:creator>
  <cp:lastModifiedBy>Rob Gardner</cp:lastModifiedBy>
  <cp:lastPrinted>2008-08-20T16:55:19Z</cp:lastPrinted>
  <dcterms:created xsi:type="dcterms:W3CDTF">2007-09-26T16:49:24Z</dcterms:created>
  <dcterms:modified xsi:type="dcterms:W3CDTF">2009-02-11T16:11:15Z</dcterms:modified>
</cp:coreProperties>
</file>