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33600" windowHeight="15990" tabRatio="587" firstSheet="1" activeTab="10"/>
  </bookViews>
  <sheets>
    <sheet name="arrKom" sheetId="1" r:id="rId1"/>
    <sheet name="banKom" sheetId="2" r:id="rId2"/>
    <sheet name="bedKom" sheetId="3" r:id="rId3"/>
    <sheet name="dotKom" sheetId="4" r:id="rId4"/>
    <sheet name="fagKom" sheetId="5" r:id="rId5"/>
    <sheet name="HS" sheetId="6" r:id="rId6"/>
    <sheet name="proKom" sheetId="12" r:id="rId7"/>
    <sheet name="triKom" sheetId="8" r:id="rId8"/>
    <sheet name="velKom" sheetId="9" r:id="rId9"/>
    <sheet name="studLAN" sheetId="10" r:id="rId10"/>
    <sheet name="Total" sheetId="11" r:id="rId1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1" l="1"/>
  <c r="H4" i="11"/>
  <c r="J50" i="1"/>
  <c r="K9" i="12"/>
  <c r="K19" i="12"/>
  <c r="K21" i="12"/>
  <c r="J9" i="12"/>
  <c r="J19" i="12"/>
  <c r="J21" i="12"/>
  <c r="C10" i="12"/>
  <c r="D10" i="12"/>
  <c r="E10" i="12"/>
  <c r="C21" i="12"/>
  <c r="D21" i="12"/>
  <c r="E21" i="12"/>
  <c r="E23" i="12"/>
  <c r="D23" i="12"/>
  <c r="C23" i="12"/>
  <c r="E20" i="12"/>
  <c r="E19" i="12"/>
  <c r="E18" i="12"/>
  <c r="E17" i="12"/>
  <c r="E16" i="12"/>
  <c r="E15" i="12"/>
  <c r="E14" i="12"/>
  <c r="E13" i="12"/>
  <c r="E9" i="12"/>
  <c r="E8" i="12"/>
  <c r="E7" i="12"/>
  <c r="E6" i="12"/>
  <c r="E5" i="12"/>
  <c r="E4" i="12"/>
  <c r="C20" i="10"/>
  <c r="C22" i="10"/>
  <c r="C28" i="10"/>
  <c r="C30" i="10"/>
  <c r="B22" i="10"/>
  <c r="B28" i="10"/>
  <c r="B30" i="10"/>
  <c r="C22" i="9"/>
  <c r="D22" i="9"/>
  <c r="E22" i="9"/>
  <c r="C9" i="9"/>
  <c r="D9" i="9"/>
  <c r="E9" i="9"/>
  <c r="E24" i="9"/>
  <c r="E12" i="9"/>
  <c r="H5" i="6"/>
  <c r="H6" i="6"/>
  <c r="H11" i="6"/>
  <c r="E24" i="8"/>
  <c r="E34" i="8"/>
  <c r="E36" i="8"/>
  <c r="C16" i="2"/>
  <c r="C24" i="8"/>
  <c r="C29" i="8"/>
  <c r="C34" i="8"/>
  <c r="C36" i="8"/>
  <c r="J7" i="4"/>
  <c r="J11" i="4"/>
  <c r="J13" i="4"/>
  <c r="Y15" i="3"/>
  <c r="Y33" i="3"/>
  <c r="Z15" i="3"/>
  <c r="Z21" i="3"/>
  <c r="Z22" i="3"/>
  <c r="Z30" i="3"/>
  <c r="Z31" i="3"/>
  <c r="Z32" i="3"/>
  <c r="Z33" i="3"/>
  <c r="Z35" i="3"/>
  <c r="D12" i="10"/>
  <c r="C12" i="10"/>
  <c r="E11" i="10"/>
  <c r="E10" i="10"/>
  <c r="E9" i="10"/>
  <c r="E12" i="10"/>
  <c r="K5" i="11"/>
  <c r="D6" i="10"/>
  <c r="D14" i="10"/>
  <c r="C6" i="10"/>
  <c r="C14" i="10"/>
  <c r="E14" i="10"/>
  <c r="E5" i="10"/>
  <c r="E4" i="10"/>
  <c r="E6" i="10"/>
  <c r="K4" i="11"/>
  <c r="K6" i="11"/>
  <c r="I5" i="11"/>
  <c r="E21" i="9"/>
  <c r="E20" i="9"/>
  <c r="E19" i="9"/>
  <c r="E18" i="9"/>
  <c r="E17" i="9"/>
  <c r="E16" i="9"/>
  <c r="E15" i="9"/>
  <c r="E14" i="9"/>
  <c r="E13" i="9"/>
  <c r="D24" i="9"/>
  <c r="E8" i="9"/>
  <c r="E7" i="9"/>
  <c r="E6" i="9"/>
  <c r="E5" i="9"/>
  <c r="D13" i="8"/>
  <c r="D15" i="8"/>
  <c r="C13" i="8"/>
  <c r="E13" i="8"/>
  <c r="E12" i="8"/>
  <c r="E11" i="8"/>
  <c r="E10" i="8"/>
  <c r="E9" i="8"/>
  <c r="E8" i="8"/>
  <c r="E5" i="8"/>
  <c r="J4" i="11"/>
  <c r="E4" i="8"/>
  <c r="H27" i="6"/>
  <c r="H26" i="6"/>
  <c r="H24" i="6"/>
  <c r="H15" i="6"/>
  <c r="H14" i="6"/>
  <c r="H30" i="6"/>
  <c r="D29" i="6"/>
  <c r="C29" i="6"/>
  <c r="E29" i="6"/>
  <c r="G5" i="1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D9" i="6"/>
  <c r="D31" i="6"/>
  <c r="C9" i="6"/>
  <c r="C31" i="6"/>
  <c r="E8" i="6"/>
  <c r="E6" i="6"/>
  <c r="E5" i="6"/>
  <c r="E4" i="6"/>
  <c r="D16" i="5"/>
  <c r="C16" i="5"/>
  <c r="E15" i="5"/>
  <c r="E14" i="5"/>
  <c r="E13" i="5"/>
  <c r="E12" i="5"/>
  <c r="E11" i="5"/>
  <c r="E10" i="5"/>
  <c r="E9" i="5"/>
  <c r="E16" i="5"/>
  <c r="D6" i="5"/>
  <c r="D18" i="5"/>
  <c r="C6" i="5"/>
  <c r="E6" i="5"/>
  <c r="E5" i="5"/>
  <c r="E4" i="5"/>
  <c r="D14" i="4"/>
  <c r="C14" i="4"/>
  <c r="E14" i="4"/>
  <c r="E13" i="4"/>
  <c r="E12" i="4"/>
  <c r="E11" i="4"/>
  <c r="E10" i="4"/>
  <c r="E9" i="4"/>
  <c r="E8" i="4"/>
  <c r="D5" i="4"/>
  <c r="D16" i="4"/>
  <c r="C5" i="4"/>
  <c r="C16" i="4"/>
  <c r="E4" i="4"/>
  <c r="I42" i="3"/>
  <c r="E42" i="3"/>
  <c r="N42" i="3"/>
  <c r="O40" i="3"/>
  <c r="N40" i="3"/>
  <c r="O39" i="3"/>
  <c r="N39" i="3"/>
  <c r="N38" i="3"/>
  <c r="J38" i="3"/>
  <c r="J42" i="3"/>
  <c r="F38" i="3"/>
  <c r="F42" i="3"/>
  <c r="O37" i="3"/>
  <c r="N37" i="3"/>
  <c r="I34" i="3"/>
  <c r="F34" i="3"/>
  <c r="E34" i="3"/>
  <c r="N34" i="3"/>
  <c r="O32" i="3"/>
  <c r="N32" i="3"/>
  <c r="N31" i="3"/>
  <c r="J31" i="3"/>
  <c r="O31" i="3"/>
  <c r="O30" i="3"/>
  <c r="N30" i="3"/>
  <c r="O29" i="3"/>
  <c r="N29" i="3"/>
  <c r="N28" i="3"/>
  <c r="J28" i="3"/>
  <c r="O28" i="3"/>
  <c r="O27" i="3"/>
  <c r="N27" i="3"/>
  <c r="I24" i="3"/>
  <c r="E24" i="3"/>
  <c r="N22" i="3"/>
  <c r="F22" i="3"/>
  <c r="O22" i="3"/>
  <c r="N21" i="3"/>
  <c r="F21" i="3"/>
  <c r="O21" i="3"/>
  <c r="N20" i="3"/>
  <c r="F20" i="3"/>
  <c r="O20" i="3"/>
  <c r="N19" i="3"/>
  <c r="F19" i="3"/>
  <c r="O19" i="3"/>
  <c r="N18" i="3"/>
  <c r="F18" i="3"/>
  <c r="N17" i="3"/>
  <c r="J17" i="3"/>
  <c r="O17" i="3"/>
  <c r="N16" i="3"/>
  <c r="J16" i="3"/>
  <c r="N11" i="3"/>
  <c r="J11" i="3"/>
  <c r="F11" i="3"/>
  <c r="N10" i="3"/>
  <c r="J10" i="3"/>
  <c r="F10" i="3"/>
  <c r="N9" i="3"/>
  <c r="H9" i="3"/>
  <c r="J9" i="3"/>
  <c r="D9" i="3"/>
  <c r="F9" i="3"/>
  <c r="N8" i="3"/>
  <c r="H8" i="3"/>
  <c r="J8" i="3"/>
  <c r="D8" i="3"/>
  <c r="F8" i="3"/>
  <c r="N7" i="3"/>
  <c r="H7" i="3"/>
  <c r="J7" i="3"/>
  <c r="D7" i="3"/>
  <c r="F7" i="3"/>
  <c r="H6" i="3"/>
  <c r="I6" i="3"/>
  <c r="D6" i="3"/>
  <c r="F6" i="3"/>
  <c r="O5" i="3"/>
  <c r="I5" i="3"/>
  <c r="E5" i="3"/>
  <c r="O4" i="3"/>
  <c r="N4" i="3"/>
  <c r="D7" i="2"/>
  <c r="C7" i="2"/>
  <c r="E6" i="2"/>
  <c r="E5" i="2"/>
  <c r="E4" i="2"/>
  <c r="E7" i="2"/>
  <c r="C5" i="11"/>
  <c r="J48" i="1"/>
  <c r="I48" i="1"/>
  <c r="D33" i="1"/>
  <c r="C33" i="1"/>
  <c r="E33" i="1"/>
  <c r="B5" i="11"/>
  <c r="E32" i="1"/>
  <c r="E31" i="1"/>
  <c r="E30" i="1"/>
  <c r="E29" i="1"/>
  <c r="E28" i="1"/>
  <c r="J18" i="1"/>
  <c r="I18" i="1"/>
  <c r="I5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D12" i="1"/>
  <c r="D35" i="1"/>
  <c r="C12" i="1"/>
  <c r="C35" i="1"/>
  <c r="E11" i="1"/>
  <c r="E10" i="1"/>
  <c r="E9" i="1"/>
  <c r="E8" i="1"/>
  <c r="E7" i="1"/>
  <c r="E6" i="1"/>
  <c r="E5" i="1"/>
  <c r="E4" i="1"/>
  <c r="E6" i="3"/>
  <c r="F4" i="11"/>
  <c r="E12" i="1"/>
  <c r="E5" i="4"/>
  <c r="C18" i="5"/>
  <c r="C15" i="8"/>
  <c r="C24" i="9"/>
  <c r="O16" i="3"/>
  <c r="E9" i="6"/>
  <c r="G4" i="11"/>
  <c r="B4" i="11"/>
  <c r="E35" i="1"/>
  <c r="B6" i="11"/>
  <c r="H6" i="11"/>
  <c r="E4" i="11"/>
  <c r="N24" i="3"/>
  <c r="O38" i="3"/>
  <c r="N5" i="3"/>
  <c r="O9" i="3"/>
  <c r="F24" i="3"/>
  <c r="O18" i="3"/>
  <c r="J6" i="3"/>
  <c r="J13" i="3"/>
  <c r="O11" i="3"/>
  <c r="E13" i="3"/>
  <c r="O8" i="3"/>
  <c r="O10" i="3"/>
  <c r="J24" i="3"/>
  <c r="O24" i="3"/>
  <c r="J34" i="3"/>
  <c r="O34" i="3"/>
  <c r="O42" i="3"/>
  <c r="F13" i="3"/>
  <c r="G6" i="11"/>
  <c r="O7" i="3"/>
  <c r="E16" i="4"/>
  <c r="E5" i="11"/>
  <c r="E6" i="11"/>
  <c r="E18" i="5"/>
  <c r="F5" i="11"/>
  <c r="E15" i="8"/>
  <c r="J5" i="11"/>
  <c r="J6" i="11"/>
  <c r="I4" i="11"/>
  <c r="I6" i="11"/>
  <c r="F6" i="11"/>
  <c r="I13" i="3"/>
  <c r="N6" i="3"/>
  <c r="E31" i="6"/>
  <c r="O6" i="3"/>
  <c r="O13" i="3"/>
  <c r="O49" i="3"/>
  <c r="D5" i="11"/>
  <c r="L5" i="11"/>
  <c r="N13" i="3"/>
  <c r="O48" i="3"/>
  <c r="D4" i="11"/>
  <c r="O50" i="3"/>
  <c r="L4" i="11"/>
  <c r="L6" i="11"/>
  <c r="D6" i="11"/>
  <c r="Y35" i="3"/>
  <c r="H32" i="6"/>
</calcChain>
</file>

<file path=xl/sharedStrings.xml><?xml version="1.0" encoding="utf-8"?>
<sst xmlns="http://schemas.openxmlformats.org/spreadsheetml/2006/main" count="484" uniqueCount="262">
  <si>
    <t>ArrKom budsjett</t>
  </si>
  <si>
    <t>Høst 12</t>
  </si>
  <si>
    <t>Vår 13</t>
  </si>
  <si>
    <t>Total</t>
  </si>
  <si>
    <t>Kommentar</t>
  </si>
  <si>
    <t>Arrkom</t>
  </si>
  <si>
    <t>Budsjett 11/12</t>
  </si>
  <si>
    <t>Inntekter</t>
  </si>
  <si>
    <t>Immball</t>
  </si>
  <si>
    <t>400*100 pers, tar forbehold om litt sponsing</t>
  </si>
  <si>
    <t>3000 Salgsinntekter</t>
  </si>
  <si>
    <t>Blåtur</t>
  </si>
  <si>
    <t>100*40 pers, blir nok maks en buss</t>
  </si>
  <si>
    <t>3100 Billettinntekter</t>
  </si>
  <si>
    <t>Julebord</t>
  </si>
  <si>
    <t>400*80 pers</t>
  </si>
  <si>
    <t>3110 Blåtur</t>
  </si>
  <si>
    <t>Juleverksted</t>
  </si>
  <si>
    <t>50*10pers</t>
  </si>
  <si>
    <t>3120 Immball</t>
  </si>
  <si>
    <t>Tallin (?)</t>
  </si>
  <si>
    <t>(umulig å vite hvor mange og hvordan)</t>
  </si>
  <si>
    <t>3130 Julebord</t>
  </si>
  <si>
    <t>Åretur</t>
  </si>
  <si>
    <t>kryper opp mot 200 pers</t>
  </si>
  <si>
    <t>3140 Jubileum</t>
  </si>
  <si>
    <t>Vinter-OL</t>
  </si>
  <si>
    <t>20* 10 pers</t>
  </si>
  <si>
    <t>3150 OnLAN</t>
  </si>
  <si>
    <t>Andre/uforutsette inntekter</t>
  </si>
  <si>
    <t>(evt curling)</t>
  </si>
  <si>
    <t>3160 Utenlandstur</t>
  </si>
  <si>
    <t>Sum</t>
  </si>
  <si>
    <t>3170 Åretur</t>
  </si>
  <si>
    <t>3180 Egenandeler representasjon</t>
  </si>
  <si>
    <t>Utgifter</t>
  </si>
  <si>
    <t>Bekledning (?)</t>
  </si>
  <si>
    <t>3300 Sponsor</t>
  </si>
  <si>
    <t>Efter-Åre fest</t>
  </si>
  <si>
    <t>3410 Innbetaling kurs bespisning</t>
  </si>
  <si>
    <t>Sponsing på 20 000</t>
  </si>
  <si>
    <t>3500 Bedpres</t>
  </si>
  <si>
    <t>Sponsing på 100 kr pr pers, 8000</t>
  </si>
  <si>
    <t>3510 Innbetaling bedpres bespisning</t>
  </si>
  <si>
    <t>3600 Annonser</t>
  </si>
  <si>
    <t>Nye Arrangement</t>
  </si>
  <si>
    <t>3700 Gebyrer</t>
  </si>
  <si>
    <t>Teambuilding</t>
  </si>
  <si>
    <t>100*15 pers</t>
  </si>
  <si>
    <t>3800 Internoverføringer</t>
  </si>
  <si>
    <t>3990 Renter</t>
  </si>
  <si>
    <t>X- fest</t>
  </si>
  <si>
    <t>3900 Andre/uforutsette inntekter</t>
  </si>
  <si>
    <t>Reboot</t>
  </si>
  <si>
    <t>Tallin</t>
  </si>
  <si>
    <t>Trykksaker</t>
  </si>
  <si>
    <t>Kan komme under ulike arr, men her blir det budsjettert for plakater</t>
  </si>
  <si>
    <t>Transportgodtgjørelse</t>
  </si>
  <si>
    <t>Arr.ledere får betalt for arr.</t>
  </si>
  <si>
    <t>Arrangementgodgjørelse</t>
  </si>
  <si>
    <t>4000 Varekjøp</t>
  </si>
  <si>
    <t>Karneval</t>
  </si>
  <si>
    <t>4010 Kaffe, serveringsutstyr o.l.</t>
  </si>
  <si>
    <t>Andre/uforutsette utgifter</t>
  </si>
  <si>
    <t>(evt curling, filmkveld ect)</t>
  </si>
  <si>
    <t>4300 Utstyrkjøp</t>
  </si>
  <si>
    <t>Differanse</t>
  </si>
  <si>
    <t>4400 Rekvisita</t>
  </si>
  <si>
    <t>4500 Trykksaker</t>
  </si>
  <si>
    <t>4510 Plakater, bonger</t>
  </si>
  <si>
    <t>4520 Foiler, hefter</t>
  </si>
  <si>
    <t>4600 Gaver (ikke representasjon)</t>
  </si>
  <si>
    <t>4700 Bekledning</t>
  </si>
  <si>
    <t>4800 Teambuilding</t>
  </si>
  <si>
    <t>5000 Tilbakebetaling til medlemmer</t>
  </si>
  <si>
    <t>5100 Betaling til foreninger</t>
  </si>
  <si>
    <t>5200 Støtte til andre</t>
  </si>
  <si>
    <t>5210 Støtte til pangKom</t>
  </si>
  <si>
    <t>5220 Støtte til Datakameratene</t>
  </si>
  <si>
    <t>5300 Representasjon</t>
  </si>
  <si>
    <t>6000 Arrangementer</t>
  </si>
  <si>
    <t>6010 17.mai frokost</t>
  </si>
  <si>
    <t>6020 Blåtur</t>
  </si>
  <si>
    <t>6030 Eksamensfest</t>
  </si>
  <si>
    <t>6040 Immball</t>
  </si>
  <si>
    <t>6050 Jubileum</t>
  </si>
  <si>
    <t>6060 Julebord</t>
  </si>
  <si>
    <t>6070 Julelunsj</t>
  </si>
  <si>
    <t>6080 Juleverksted</t>
  </si>
  <si>
    <t>6090 Ludøl</t>
  </si>
  <si>
    <t>6100 OnLAN</t>
  </si>
  <si>
    <t>6110 Utenlandstur</t>
  </si>
  <si>
    <t>6120 X-fest</t>
  </si>
  <si>
    <t>6130 Åretur</t>
  </si>
  <si>
    <t>6500 Leie av lokaler</t>
  </si>
  <si>
    <t>6600 Bespisning</t>
  </si>
  <si>
    <t>6700 Transport</t>
  </si>
  <si>
    <t>7000 Bankgebyrer</t>
  </si>
  <si>
    <t>7800 Internoverføringer</t>
  </si>
  <si>
    <t>7900 Andre/uforutsette utgifter</t>
  </si>
  <si>
    <t>Efter-Åre-fest</t>
  </si>
  <si>
    <t>Nye arrangement</t>
  </si>
  <si>
    <t>Resultat</t>
  </si>
  <si>
    <t>BanKom budsjett</t>
  </si>
  <si>
    <t>Rekvisita</t>
  </si>
  <si>
    <t>Teambuilding banKom</t>
  </si>
  <si>
    <t>Pizzabudsjett banKom</t>
  </si>
  <si>
    <t>Budsjett for bedriftskomitéen H12-V13</t>
  </si>
  <si>
    <t>Post</t>
  </si>
  <si>
    <t>Antal</t>
  </si>
  <si>
    <t>Høst</t>
  </si>
  <si>
    <t>Vår</t>
  </si>
  <si>
    <t>Årsbudsjett</t>
  </si>
  <si>
    <t>Bedriftspresentasjonar</t>
  </si>
  <si>
    <r>
      <t xml:space="preserve">Bedpresgebyr </t>
    </r>
    <r>
      <rPr>
        <vertAlign val="superscript"/>
        <sz val="11"/>
        <color rgb="FFC0504D"/>
        <rFont val="Calibri"/>
        <family val="2"/>
        <charset val="1"/>
      </rPr>
      <t>1</t>
    </r>
  </si>
  <si>
    <r>
      <t xml:space="preserve">Bespisning </t>
    </r>
    <r>
      <rPr>
        <vertAlign val="superscript"/>
        <sz val="11"/>
        <color rgb="FFC0504D"/>
        <rFont val="Calibri"/>
        <family val="2"/>
        <charset val="1"/>
      </rPr>
      <t>1</t>
    </r>
  </si>
  <si>
    <t>Plakater</t>
  </si>
  <si>
    <t>Bonger</t>
  </si>
  <si>
    <t>Buss</t>
  </si>
  <si>
    <r>
      <t xml:space="preserve">Taxi </t>
    </r>
    <r>
      <rPr>
        <vertAlign val="superscript"/>
        <sz val="11"/>
        <color rgb="FFC0504D"/>
        <rFont val="Calibri"/>
        <family val="2"/>
        <charset val="1"/>
      </rPr>
      <t>2</t>
    </r>
  </si>
  <si>
    <t>Mineralvann</t>
  </si>
  <si>
    <t>Profilering</t>
  </si>
  <si>
    <r>
      <t>T-skjorter</t>
    </r>
    <r>
      <rPr>
        <vertAlign val="superscript"/>
        <sz val="11"/>
        <color rgb="FFC0504D"/>
        <rFont val="Calibri"/>
        <family val="2"/>
        <charset val="1"/>
      </rPr>
      <t xml:space="preserve"> 3</t>
    </r>
  </si>
  <si>
    <r>
      <t>Roll-up</t>
    </r>
    <r>
      <rPr>
        <vertAlign val="superscript"/>
        <sz val="11"/>
        <color rgb="FFC0504D"/>
        <rFont val="Calibri"/>
        <family val="2"/>
        <charset val="1"/>
      </rPr>
      <t xml:space="preserve"> 3</t>
    </r>
  </si>
  <si>
    <t>Opptak plakater</t>
  </si>
  <si>
    <r>
      <t xml:space="preserve">Visittkort (nye) </t>
    </r>
    <r>
      <rPr>
        <vertAlign val="superscript"/>
        <sz val="11"/>
        <color rgb="FFC0504D"/>
        <rFont val="Calibri"/>
        <family val="2"/>
        <charset val="1"/>
      </rPr>
      <t>4</t>
    </r>
  </si>
  <si>
    <r>
      <t xml:space="preserve">Visittkort (påfyll) </t>
    </r>
    <r>
      <rPr>
        <vertAlign val="superscript"/>
        <sz val="11"/>
        <color rgb="FFC0504D"/>
        <rFont val="Calibri"/>
        <family val="2"/>
        <charset val="1"/>
      </rPr>
      <t>4</t>
    </r>
  </si>
  <si>
    <r>
      <t xml:space="preserve">Visittkort generelle </t>
    </r>
    <r>
      <rPr>
        <vertAlign val="superscript"/>
        <sz val="11"/>
        <color rgb="FFC0504D"/>
        <rFont val="Calibri"/>
        <family val="2"/>
        <charset val="1"/>
      </rPr>
      <t>4</t>
    </r>
  </si>
  <si>
    <r>
      <t xml:space="preserve">Produktark </t>
    </r>
    <r>
      <rPr>
        <vertAlign val="superscript"/>
        <sz val="11"/>
        <color rgb="FFC0504D"/>
        <rFont val="Calibri"/>
        <family val="2"/>
        <charset val="1"/>
      </rPr>
      <t>5</t>
    </r>
  </si>
  <si>
    <r>
      <t xml:space="preserve">Hovedsponsor </t>
    </r>
    <r>
      <rPr>
        <b/>
        <vertAlign val="superscript"/>
        <sz val="14"/>
        <color rgb="FFC0504D"/>
        <rFont val="Calibri"/>
        <family val="2"/>
        <charset val="1"/>
      </rPr>
      <t>6</t>
    </r>
  </si>
  <si>
    <t>Samarbeidsavtalen</t>
  </si>
  <si>
    <t>FagKom: Kurs</t>
  </si>
  <si>
    <t>ITEx: Oslotur</t>
  </si>
  <si>
    <t>VelKom: Faddersponsing</t>
  </si>
  <si>
    <t>ProKom: Annonser i Offline</t>
  </si>
  <si>
    <t>Diverse</t>
  </si>
  <si>
    <t>Team-building</t>
  </si>
  <si>
    <t>Oslo-tur</t>
  </si>
  <si>
    <r>
      <t xml:space="preserve">Uforutsette </t>
    </r>
    <r>
      <rPr>
        <vertAlign val="superscript"/>
        <sz val="11"/>
        <color rgb="FFC0504D"/>
        <rFont val="Calibri"/>
        <family val="2"/>
        <charset val="1"/>
      </rPr>
      <t>7</t>
    </r>
  </si>
  <si>
    <r>
      <t xml:space="preserve">Utstyr </t>
    </r>
    <r>
      <rPr>
        <vertAlign val="superscript"/>
        <sz val="11"/>
        <color rgb="FFC0504D"/>
        <rFont val="Calibri"/>
        <family val="2"/>
        <charset val="1"/>
      </rPr>
      <t>8</t>
    </r>
  </si>
  <si>
    <t>Totalt:</t>
  </si>
  <si>
    <t>Overskudd</t>
  </si>
  <si>
    <t>DotKom budsjett</t>
  </si>
  <si>
    <t>Inntekt</t>
  </si>
  <si>
    <t>Pizzakonto inn</t>
  </si>
  <si>
    <t>Pizzakonto ut</t>
  </si>
  <si>
    <t>Outsourcing</t>
  </si>
  <si>
    <t>Ekspandering</t>
  </si>
  <si>
    <t>Bekledning</t>
  </si>
  <si>
    <t>FagKom budsjett</t>
  </si>
  <si>
    <t>Administrasjonsgebyr kurs</t>
  </si>
  <si>
    <t>Det er budsjettert 8 kurs på høsten og 8 på våren</t>
  </si>
  <si>
    <t>Innbetaling bespisning</t>
  </si>
  <si>
    <t>Budsjettert ca 4000 per kurs</t>
  </si>
  <si>
    <t>3400 Innbetaling kurs</t>
  </si>
  <si>
    <t>Bespisning kurs</t>
  </si>
  <si>
    <t>Gaver</t>
  </si>
  <si>
    <t>Plakater, bonger</t>
  </si>
  <si>
    <t>4600 Gaver</t>
  </si>
  <si>
    <t>HS budsjett</t>
  </si>
  <si>
    <t>Egenandeler representasjon</t>
  </si>
  <si>
    <t>Støtte</t>
  </si>
  <si>
    <t>Sponsor</t>
  </si>
  <si>
    <t>Renter</t>
  </si>
  <si>
    <t>Gaver (ikke representasjon)</t>
  </si>
  <si>
    <t>Premier</t>
  </si>
  <si>
    <t>Utmerkelser</t>
  </si>
  <si>
    <t>Styrebånd</t>
  </si>
  <si>
    <t>Betaling til foreninger</t>
  </si>
  <si>
    <t>Støtte til andre</t>
  </si>
  <si>
    <t>Støtte til pangKom</t>
  </si>
  <si>
    <t>Støtte til Datakameratene</t>
  </si>
  <si>
    <t>Representasjon</t>
  </si>
  <si>
    <t>Styrevors</t>
  </si>
  <si>
    <t>Leie av lokaler</t>
  </si>
  <si>
    <t>Bankgebyrer</t>
  </si>
  <si>
    <t>Kompileringen</t>
  </si>
  <si>
    <t>Nye prosjekter</t>
  </si>
  <si>
    <t>MVA til skatteetaten</t>
  </si>
  <si>
    <t>ProKom budsjett</t>
  </si>
  <si>
    <t>Annonseintekter</t>
  </si>
  <si>
    <t>Abonement</t>
  </si>
  <si>
    <t>Støtte fra SiT</t>
  </si>
  <si>
    <t>Koniteedaljer</t>
  </si>
  <si>
    <t>Åregenser 2013</t>
  </si>
  <si>
    <t>Komitedaljer</t>
  </si>
  <si>
    <t>Utsending av Offline</t>
  </si>
  <si>
    <t>Trykkostnader Offline</t>
  </si>
  <si>
    <t>Reise</t>
  </si>
  <si>
    <t>Utstyr Offline</t>
  </si>
  <si>
    <t>TriKom budsjett</t>
  </si>
  <si>
    <t>Salg av kioskvarer</t>
  </si>
  <si>
    <t>Utgift</t>
  </si>
  <si>
    <t>Gratis konsumerbart</t>
  </si>
  <si>
    <t>Vaffeldag</t>
  </si>
  <si>
    <t>Utgifter kiosksalg</t>
  </si>
  <si>
    <t>Andre/uforutsette ugifter</t>
  </si>
  <si>
    <t>velKom budsjett</t>
  </si>
  <si>
    <t>Fra Hovedsponsor</t>
  </si>
  <si>
    <t>Fra NTNU</t>
  </si>
  <si>
    <t>Varekjøp</t>
  </si>
  <si>
    <t>Arrangementer</t>
  </si>
  <si>
    <t>Bespisning</t>
  </si>
  <si>
    <t>Transport</t>
  </si>
  <si>
    <t>studLAN budsjett</t>
  </si>
  <si>
    <t>Deltakeravgift</t>
  </si>
  <si>
    <t>Sponsorinntekter</t>
  </si>
  <si>
    <t>Markedsførings-materiale</t>
  </si>
  <si>
    <t>Utstyr</t>
  </si>
  <si>
    <t>Totalbudsjetteringer</t>
  </si>
  <si>
    <t>Komite</t>
  </si>
  <si>
    <t>ArrKom</t>
  </si>
  <si>
    <t>BanKom</t>
  </si>
  <si>
    <t>BedKom</t>
  </si>
  <si>
    <t>DotKom</t>
  </si>
  <si>
    <t>FagKom</t>
  </si>
  <si>
    <t>HS</t>
  </si>
  <si>
    <t>ProKom</t>
  </si>
  <si>
    <t>velKom</t>
  </si>
  <si>
    <t>TriKom</t>
  </si>
  <si>
    <t>StudLAN</t>
  </si>
  <si>
    <t>a</t>
  </si>
  <si>
    <t>Regnskap 12/13</t>
  </si>
  <si>
    <t>Regnskap 2011</t>
  </si>
  <si>
    <t>Internoverføring</t>
  </si>
  <si>
    <t>Kaffe, serveringsutstyr, o.l.</t>
  </si>
  <si>
    <t>Utstyrskjøp</t>
  </si>
  <si>
    <t>17. mai frokost</t>
  </si>
  <si>
    <t>Innskudd fra kassen på kontoret</t>
  </si>
  <si>
    <t>Vaffler, boller o.l.</t>
  </si>
  <si>
    <t>Internoverføringer</t>
  </si>
  <si>
    <t>1: Tilbakebetaling til ArrKom for at de batalet en felles Rema 100 faktura.</t>
  </si>
  <si>
    <t>GenFors</t>
  </si>
  <si>
    <t>Salg av komiteedaljer (100 stk.)</t>
  </si>
  <si>
    <t>Salg av koiteepins (250 stk)</t>
  </si>
  <si>
    <t>Støtte til imm.ballet</t>
  </si>
  <si>
    <t>Budsjett 2011</t>
  </si>
  <si>
    <t>Sum inntekter</t>
  </si>
  <si>
    <t>Sum utgifter</t>
  </si>
  <si>
    <t>budsjett 11/12</t>
  </si>
  <si>
    <t>regnskap 11</t>
  </si>
  <si>
    <t>Regnskap 11</t>
  </si>
  <si>
    <t>Inntkter</t>
  </si>
  <si>
    <t>Merknad</t>
  </si>
  <si>
    <t>Steria</t>
  </si>
  <si>
    <t>Sponsing fra Steria, Gullpakke</t>
  </si>
  <si>
    <t>IME</t>
  </si>
  <si>
    <t>Bespisning på lunsjpress med Steria</t>
  </si>
  <si>
    <t>Sum Inntekter</t>
  </si>
  <si>
    <t>Tskjorter</t>
  </si>
  <si>
    <t>Purring</t>
  </si>
  <si>
    <t>Kakebuffet</t>
  </si>
  <si>
    <t>Mangel på kvitering</t>
  </si>
  <si>
    <t>Grilling</t>
  </si>
  <si>
    <t>Grillmat</t>
  </si>
  <si>
    <t>Pops</t>
  </si>
  <si>
    <t>Pizza Kickoff</t>
  </si>
  <si>
    <t xml:space="preserve">Pizza til faddere
</t>
  </si>
  <si>
    <t>Differanse inntekter/utgifter</t>
  </si>
  <si>
    <t>3800 Internoverføring</t>
  </si>
  <si>
    <t>4620 Utmerkelser</t>
  </si>
  <si>
    <r>
      <rPr>
        <sz val="11"/>
        <color rgb="FFFF0000"/>
        <rFont val="Calibri"/>
        <family val="2"/>
      </rPr>
      <t xml:space="preserve">1) </t>
    </r>
    <r>
      <rPr>
        <sz val="11"/>
        <color rgb="FF000000"/>
        <rFont val="Calibri"/>
        <family val="2"/>
        <charset val="1"/>
      </rPr>
      <t>Dette vil være en inntekt som går over flere semestre da ikke alle 100 daljer vil bli kjøpt med en gang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</si>
</sst>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&quot;kr &quot;#,##0.00"/>
  </numFmts>
  <fonts count="35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1F497D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28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vertAlign val="superscript"/>
      <sz val="11"/>
      <color rgb="FFC0504D"/>
      <name val="Calibri"/>
      <family val="2"/>
      <charset val="1"/>
    </font>
    <font>
      <b/>
      <vertAlign val="superscript"/>
      <sz val="14"/>
      <color rgb="FFC0504D"/>
      <name val="Calibri"/>
      <family val="2"/>
      <charset val="1"/>
    </font>
    <font>
      <b/>
      <sz val="11"/>
      <color rgb="FF9C65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9C0006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color theme="3"/>
      <name val="Calibri"/>
      <family val="2"/>
      <scheme val="minor"/>
    </font>
    <font>
      <vertAlign val="superscript"/>
      <sz val="11"/>
      <color rgb="FF000000"/>
      <name val="Calibri"/>
      <family val="2"/>
      <charset val="1"/>
    </font>
    <font>
      <b/>
      <sz val="11"/>
      <color rgb="FF0061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vertAlign val="superscript"/>
      <sz val="14"/>
      <color rgb="FFFF0000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C7CE"/>
        <bgColor rgb="FFFCD5B5"/>
      </patternFill>
    </fill>
    <fill>
      <patternFill patternType="solid">
        <fgColor rgb="FFD9D9D9"/>
        <bgColor rgb="FFD7E4BD"/>
      </patternFill>
    </fill>
    <fill>
      <patternFill patternType="solid">
        <fgColor rgb="FFDCE6F2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FCD5B5"/>
        <bgColor rgb="FFFFC7CE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43" fontId="1" fillId="0" borderId="0" applyBorder="0" applyAlignment="0" applyProtection="0"/>
    <xf numFmtId="0" fontId="2" fillId="0" borderId="0" xfId="0" applyFont="1" applyAlignment="1" applyProtection="1"/>
    <xf numFmtId="4" fontId="2" fillId="0" borderId="0" xfId="0" applyNumberFormat="1" applyFont="1" applyAlignment="1" applyProtection="1"/>
    <xf numFmtId="0" fontId="22" fillId="12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20">
    <xf numFmtId="0" fontId="0" fillId="0" borderId="0" xfId="0"/>
    <xf numFmtId="4" fontId="0" fillId="0" borderId="0" xfId="0" applyNumberFormat="1"/>
    <xf numFmtId="0" fontId="2" fillId="0" borderId="0" xfId="0" applyFont="1" applyAlignment="1" applyProtection="1"/>
    <xf numFmtId="4" fontId="2" fillId="0" borderId="0" xfId="0" applyNumberFormat="1" applyFont="1" applyAlignment="1" applyProtection="1"/>
    <xf numFmtId="4" fontId="2" fillId="0" borderId="0" xfId="0" applyNumberFormat="1" applyFont="1" applyBorder="1" applyAlignment="1" applyProtection="1"/>
    <xf numFmtId="4" fontId="3" fillId="2" borderId="1" xfId="2" applyNumberFormat="1" applyFont="1" applyFill="1" applyBorder="1" applyAlignment="1" applyProtection="1"/>
    <xf numFmtId="0" fontId="3" fillId="2" borderId="1" xfId="2" applyFont="1" applyFill="1" applyBorder="1" applyAlignment="1" applyProtection="1"/>
    <xf numFmtId="0" fontId="3" fillId="2" borderId="2" xfId="2" applyFont="1" applyFill="1" applyBorder="1" applyAlignment="1" applyProtection="1"/>
    <xf numFmtId="0" fontId="5" fillId="0" borderId="0" xfId="0" applyFont="1"/>
    <xf numFmtId="4" fontId="4" fillId="2" borderId="3" xfId="2" applyNumberFormat="1" applyFont="1" applyFill="1" applyBorder="1" applyAlignment="1" applyProtection="1"/>
    <xf numFmtId="4" fontId="4" fillId="2" borderId="0" xfId="2" applyNumberFormat="1" applyFont="1" applyFill="1" applyBorder="1" applyAlignment="1" applyProtection="1"/>
    <xf numFmtId="0" fontId="6" fillId="0" borderId="0" xfId="0" applyFont="1"/>
    <xf numFmtId="2" fontId="4" fillId="2" borderId="3" xfId="2" applyNumberFormat="1" applyFont="1" applyFill="1" applyBorder="1" applyAlignment="1" applyProtection="1"/>
    <xf numFmtId="0" fontId="0" fillId="0" borderId="0" xfId="0" applyFont="1"/>
    <xf numFmtId="0" fontId="7" fillId="0" borderId="0" xfId="0" applyFont="1"/>
    <xf numFmtId="0" fontId="5" fillId="0" borderId="4" xfId="0" applyFont="1" applyBorder="1"/>
    <xf numFmtId="4" fontId="3" fillId="2" borderId="5" xfId="2" applyNumberFormat="1" applyFont="1" applyFill="1" applyBorder="1" applyAlignment="1" applyProtection="1"/>
    <xf numFmtId="4" fontId="3" fillId="2" borderId="4" xfId="2" applyNumberFormat="1" applyFont="1" applyFill="1" applyBorder="1" applyAlignment="1" applyProtection="1"/>
    <xf numFmtId="0" fontId="7" fillId="0" borderId="0" xfId="0" applyFont="1" applyBorder="1"/>
    <xf numFmtId="2" fontId="4" fillId="4" borderId="3" xfId="2" applyNumberFormat="1" applyFont="1" applyFill="1" applyBorder="1" applyAlignment="1" applyProtection="1"/>
    <xf numFmtId="0" fontId="6" fillId="0" borderId="4" xfId="0" applyFont="1" applyBorder="1"/>
    <xf numFmtId="2" fontId="3" fillId="2" borderId="5" xfId="2" applyNumberFormat="1" applyFont="1" applyFill="1" applyBorder="1" applyAlignment="1" applyProtection="1"/>
    <xf numFmtId="0" fontId="0" fillId="0" borderId="4" xfId="0" applyBorder="1"/>
    <xf numFmtId="2" fontId="0" fillId="0" borderId="0" xfId="0" applyNumberFormat="1"/>
    <xf numFmtId="0" fontId="4" fillId="2" borderId="3" xfId="2" applyFont="1" applyFill="1" applyBorder="1" applyAlignment="1" applyProtection="1"/>
    <xf numFmtId="0" fontId="4" fillId="2" borderId="0" xfId="2" applyFont="1" applyFill="1" applyBorder="1" applyAlignment="1" applyProtection="1"/>
    <xf numFmtId="0" fontId="5" fillId="0" borderId="6" xfId="0" applyFont="1" applyBorder="1"/>
    <xf numFmtId="0" fontId="5" fillId="0" borderId="7" xfId="0" applyFont="1" applyBorder="1"/>
    <xf numFmtId="4" fontId="3" fillId="2" borderId="2" xfId="2" applyNumberFormat="1" applyFont="1" applyFill="1" applyBorder="1" applyAlignment="1" applyProtection="1"/>
    <xf numFmtId="0" fontId="8" fillId="5" borderId="0" xfId="0" applyFont="1" applyFill="1" applyAlignment="1">
      <alignment vertical="center"/>
    </xf>
    <xf numFmtId="0" fontId="0" fillId="0" borderId="0" xfId="0" applyAlignment="1" applyProtection="1"/>
    <xf numFmtId="0" fontId="9" fillId="0" borderId="0" xfId="0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6" borderId="0" xfId="0" applyFill="1" applyBorder="1" applyAlignment="1" applyProtection="1"/>
    <xf numFmtId="0" fontId="5" fillId="0" borderId="0" xfId="0" applyFont="1" applyAlignment="1">
      <alignment horizontal="center"/>
    </xf>
    <xf numFmtId="0" fontId="0" fillId="6" borderId="0" xfId="0" applyFill="1" applyBorder="1"/>
    <xf numFmtId="0" fontId="0" fillId="7" borderId="0" xfId="0" applyFill="1" applyBorder="1" applyAlignment="1" applyProtection="1">
      <alignment horizontal="center"/>
    </xf>
    <xf numFmtId="164" fontId="4" fillId="8" borderId="0" xfId="2" applyNumberFormat="1" applyFont="1" applyFill="1" applyBorder="1" applyAlignment="1" applyProtection="1"/>
    <xf numFmtId="164" fontId="11" fillId="9" borderId="0" xfId="3" applyNumberFormat="1" applyFont="1" applyFill="1" applyBorder="1" applyAlignment="1" applyProtection="1"/>
    <xf numFmtId="164" fontId="11" fillId="0" borderId="0" xfId="3" applyNumberFormat="1" applyFont="1" applyFill="1" applyBorder="1" applyAlignment="1" applyProtection="1"/>
    <xf numFmtId="0" fontId="10" fillId="6" borderId="0" xfId="0" applyFont="1" applyFill="1" applyBorder="1"/>
    <xf numFmtId="0" fontId="10" fillId="0" borderId="0" xfId="0" applyFont="1"/>
    <xf numFmtId="164" fontId="4" fillId="10" borderId="0" xfId="2" applyNumberFormat="1" applyFont="1" applyFill="1" applyBorder="1" applyAlignment="1" applyProtection="1"/>
    <xf numFmtId="164" fontId="11" fillId="11" borderId="0" xfId="3" applyNumberFormat="1" applyFont="1" applyFill="1" applyBorder="1" applyAlignment="1" applyProtection="1"/>
    <xf numFmtId="164" fontId="0" fillId="8" borderId="0" xfId="0" applyNumberFormat="1" applyFill="1" applyBorder="1" applyAlignment="1" applyProtection="1"/>
    <xf numFmtId="0" fontId="0" fillId="7" borderId="4" xfId="0" applyFill="1" applyBorder="1" applyAlignment="1" applyProtection="1">
      <alignment horizontal="center"/>
    </xf>
    <xf numFmtId="164" fontId="4" fillId="10" borderId="4" xfId="2" applyNumberFormat="1" applyFont="1" applyFill="1" applyBorder="1" applyAlignment="1" applyProtection="1"/>
    <xf numFmtId="164" fontId="11" fillId="11" borderId="4" xfId="3" applyNumberFormat="1" applyFont="1" applyFill="1" applyBorder="1" applyAlignment="1" applyProtection="1"/>
    <xf numFmtId="164" fontId="11" fillId="0" borderId="4" xfId="3" applyNumberFormat="1" applyFont="1" applyFill="1" applyBorder="1" applyAlignment="1" applyProtection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4" fontId="15" fillId="0" borderId="0" xfId="0" applyNumberFormat="1" applyFont="1"/>
    <xf numFmtId="0" fontId="17" fillId="0" borderId="0" xfId="0" applyFont="1"/>
    <xf numFmtId="0" fontId="16" fillId="0" borderId="4" xfId="0" applyFont="1" applyBorder="1"/>
    <xf numFmtId="164" fontId="18" fillId="2" borderId="4" xfId="2" applyNumberFormat="1" applyFont="1" applyFill="1" applyBorder="1" applyAlignment="1" applyProtection="1"/>
    <xf numFmtId="0" fontId="4" fillId="2" borderId="1" xfId="2" applyFont="1" applyFill="1" applyBorder="1" applyAlignment="1" applyProtection="1"/>
    <xf numFmtId="4" fontId="4" fillId="2" borderId="3" xfId="2" applyNumberFormat="1" applyFont="1" applyFill="1" applyBorder="1" applyAlignment="1" applyProtection="1"/>
    <xf numFmtId="0" fontId="0" fillId="0" borderId="0" xfId="0" applyBorder="1"/>
    <xf numFmtId="0" fontId="0" fillId="0" borderId="0" xfId="0" applyFont="1" applyBorder="1"/>
    <xf numFmtId="0" fontId="5" fillId="0" borderId="0" xfId="0" applyFont="1" applyBorder="1"/>
    <xf numFmtId="4" fontId="3" fillId="2" borderId="3" xfId="2" applyNumberFormat="1" applyFont="1" applyFill="1" applyBorder="1" applyAlignment="1" applyProtection="1"/>
    <xf numFmtId="4" fontId="3" fillId="2" borderId="0" xfId="2" applyNumberFormat="1" applyFont="1" applyFill="1" applyBorder="1" applyAlignment="1" applyProtection="1"/>
    <xf numFmtId="0" fontId="3" fillId="2" borderId="2" xfId="2" applyFont="1" applyFill="1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/>
    </xf>
    <xf numFmtId="0" fontId="6" fillId="0" borderId="6" xfId="0" applyFont="1" applyBorder="1"/>
    <xf numFmtId="4" fontId="4" fillId="2" borderId="2" xfId="2" applyNumberFormat="1" applyFont="1" applyFill="1" applyBorder="1" applyAlignment="1" applyProtection="1"/>
    <xf numFmtId="0" fontId="5" fillId="0" borderId="0" xfId="0" applyFont="1" applyAlignment="1" applyProtection="1"/>
    <xf numFmtId="4" fontId="4" fillId="2" borderId="5" xfId="2" applyNumberFormat="1" applyFont="1" applyFill="1" applyBorder="1" applyAlignment="1" applyProtection="1"/>
    <xf numFmtId="4" fontId="4" fillId="2" borderId="4" xfId="2" applyNumberFormat="1" applyFont="1" applyFill="1" applyBorder="1" applyAlignment="1" applyProtection="1"/>
    <xf numFmtId="0" fontId="19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4" fontId="11" fillId="3" borderId="0" xfId="3" applyNumberFormat="1" applyFont="1" applyFill="1" applyBorder="1" applyAlignment="1" applyProtection="1"/>
    <xf numFmtId="4" fontId="21" fillId="3" borderId="0" xfId="3" applyNumberFormat="1" applyFont="1" applyFill="1" applyBorder="1" applyAlignment="1" applyProtection="1"/>
    <xf numFmtId="4" fontId="0" fillId="0" borderId="0" xfId="0" applyNumberFormat="1" applyBorder="1" applyAlignment="1" applyProtection="1"/>
    <xf numFmtId="4" fontId="14" fillId="0" borderId="0" xfId="0" applyNumberFormat="1" applyFont="1" applyBorder="1" applyAlignment="1" applyProtection="1"/>
    <xf numFmtId="43" fontId="1" fillId="0" borderId="0" xfId="1" applyBorder="1" applyAlignment="1" applyProtection="1">
      <alignment horizontal="center"/>
    </xf>
    <xf numFmtId="43" fontId="1" fillId="0" borderId="0" xfId="1" applyBorder="1" applyAlignment="1" applyProtection="1"/>
    <xf numFmtId="43" fontId="1" fillId="0" borderId="0" xfId="1"/>
    <xf numFmtId="0" fontId="3" fillId="2" borderId="1" xfId="2" applyFont="1" applyFill="1" applyBorder="1" applyAlignment="1" applyProtection="1">
      <alignment horizontal="center" vertical="center"/>
    </xf>
    <xf numFmtId="43" fontId="1" fillId="0" borderId="0" xfId="1" applyBorder="1"/>
    <xf numFmtId="0" fontId="6" fillId="0" borderId="10" xfId="0" applyFont="1" applyBorder="1"/>
    <xf numFmtId="2" fontId="3" fillId="2" borderId="11" xfId="2" applyNumberFormat="1" applyFont="1" applyFill="1" applyBorder="1" applyAlignment="1" applyProtection="1"/>
    <xf numFmtId="0" fontId="5" fillId="0" borderId="10" xfId="0" applyFont="1" applyBorder="1"/>
    <xf numFmtId="2" fontId="4" fillId="2" borderId="5" xfId="2" applyNumberFormat="1" applyFont="1" applyFill="1" applyBorder="1" applyAlignment="1" applyProtection="1"/>
    <xf numFmtId="4" fontId="3" fillId="2" borderId="2" xfId="2" applyNumberFormat="1" applyFont="1" applyFill="1" applyBorder="1" applyAlignment="1" applyProtection="1">
      <alignment horizontal="center" vertical="center"/>
    </xf>
    <xf numFmtId="4" fontId="0" fillId="0" borderId="0" xfId="0" applyNumberFormat="1" applyFill="1" applyBorder="1"/>
    <xf numFmtId="0" fontId="1" fillId="0" borderId="0" xfId="0" applyFont="1"/>
    <xf numFmtId="4" fontId="22" fillId="12" borderId="3" xfId="4" applyNumberFormat="1" applyBorder="1"/>
    <xf numFmtId="2" fontId="22" fillId="12" borderId="3" xfId="4" applyNumberFormat="1" applyBorder="1"/>
    <xf numFmtId="0" fontId="0" fillId="0" borderId="10" xfId="0" applyBorder="1"/>
    <xf numFmtId="0" fontId="23" fillId="0" borderId="0" xfId="0" applyFont="1"/>
    <xf numFmtId="0" fontId="23" fillId="0" borderId="10" xfId="0" applyFont="1" applyBorder="1"/>
    <xf numFmtId="2" fontId="24" fillId="12" borderId="11" xfId="4" applyNumberFormat="1" applyFont="1" applyBorder="1"/>
    <xf numFmtId="0" fontId="22" fillId="12" borderId="3" xfId="4" applyBorder="1"/>
    <xf numFmtId="4" fontId="24" fillId="12" borderId="11" xfId="4" applyNumberFormat="1" applyFont="1" applyBorder="1"/>
    <xf numFmtId="0" fontId="25" fillId="0" borderId="10" xfId="0" applyFont="1" applyFill="1" applyBorder="1"/>
    <xf numFmtId="0" fontId="5" fillId="0" borderId="12" xfId="0" applyFont="1" applyBorder="1"/>
    <xf numFmtId="4" fontId="3" fillId="2" borderId="11" xfId="2" applyNumberFormat="1" applyFont="1" applyFill="1" applyBorder="1" applyAlignment="1" applyProtection="1"/>
    <xf numFmtId="4" fontId="3" fillId="2" borderId="10" xfId="2" applyNumberFormat="1" applyFont="1" applyFill="1" applyBorder="1" applyAlignment="1" applyProtection="1"/>
    <xf numFmtId="0" fontId="24" fillId="12" borderId="11" xfId="4" applyFont="1" applyBorder="1"/>
    <xf numFmtId="3" fontId="27" fillId="0" borderId="0" xfId="0" applyNumberFormat="1" applyFont="1" applyAlignment="1">
      <alignment horizontal="left"/>
    </xf>
    <xf numFmtId="4" fontId="26" fillId="0" borderId="0" xfId="5" applyNumberFormat="1"/>
    <xf numFmtId="4" fontId="28" fillId="2" borderId="2" xfId="2" applyNumberFormat="1" applyFont="1" applyFill="1" applyBorder="1" applyAlignment="1" applyProtection="1"/>
    <xf numFmtId="4" fontId="4" fillId="2" borderId="3" xfId="0" applyNumberFormat="1" applyFont="1" applyFill="1" applyBorder="1" applyAlignment="1" applyProtection="1"/>
    <xf numFmtId="0" fontId="22" fillId="12" borderId="16" xfId="4" applyBorder="1"/>
    <xf numFmtId="0" fontId="22" fillId="12" borderId="12" xfId="4" applyBorder="1"/>
    <xf numFmtId="0" fontId="22" fillId="12" borderId="11" xfId="4" applyBorder="1"/>
    <xf numFmtId="4" fontId="22" fillId="12" borderId="14" xfId="4" applyNumberFormat="1" applyBorder="1"/>
    <xf numFmtId="4" fontId="24" fillId="12" borderId="15" xfId="4" applyNumberFormat="1" applyFont="1" applyBorder="1"/>
    <xf numFmtId="0" fontId="29" fillId="0" borderId="0" xfId="0" applyFont="1"/>
    <xf numFmtId="0" fontId="29" fillId="0" borderId="10" xfId="0" applyFont="1" applyBorder="1"/>
    <xf numFmtId="0" fontId="0" fillId="0" borderId="0" xfId="0" applyAlignment="1"/>
    <xf numFmtId="0" fontId="26" fillId="0" borderId="13" xfId="6"/>
    <xf numFmtId="4" fontId="26" fillId="0" borderId="13" xfId="6" applyNumberFormat="1"/>
    <xf numFmtId="4" fontId="4" fillId="2" borderId="1" xfId="2" applyNumberFormat="1" applyFont="1" applyFill="1" applyBorder="1" applyAlignment="1" applyProtection="1"/>
    <xf numFmtId="1" fontId="32" fillId="0" borderId="0" xfId="0" applyNumberFormat="1" applyFont="1" applyAlignment="1">
      <alignment horizontal="left"/>
    </xf>
    <xf numFmtId="0" fontId="34" fillId="0" borderId="0" xfId="0" applyFont="1"/>
    <xf numFmtId="0" fontId="9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</cellXfs>
  <cellStyles count="10">
    <cellStyle name="Comma" xfId="1" builtinId="3"/>
    <cellStyle name="Followed Hyperlink" xfId="8" builtinId="9" hidden="1"/>
    <cellStyle name="Followed Hyperlink" xfId="10" builtinId="9" hidden="1"/>
    <cellStyle name="Good" xfId="4" builtinId="26"/>
    <cellStyle name="Heading 3" xfId="6" builtinId="18"/>
    <cellStyle name="Heading 4" xfId="5" builtinId="19"/>
    <cellStyle name="Hyperlink" xfId="7" builtinId="8" hidden="1"/>
    <cellStyle name="Hyperlink" xfId="9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C3D69B"/>
      <rgbColor rgb="00808080"/>
      <rgbColor rgb="009999FF"/>
      <rgbColor rgb="00C0504D"/>
      <rgbColor rgb="00EEECE1"/>
      <rgbColor rgb="00DCE6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7E4BD"/>
      <rgbColor rgb="00C6EFCE"/>
      <rgbColor rgb="00FCD5B5"/>
      <rgbColor rgb="0095B3D7"/>
      <rgbColor rgb="00FFC7CE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17375E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74143</xdr:colOff>
      <xdr:row>2</xdr:row>
      <xdr:rowOff>38341</xdr:rowOff>
    </xdr:from>
    <xdr:to>
      <xdr:col>20</xdr:col>
      <xdr:colOff>418259</xdr:colOff>
      <xdr:row>9</xdr:row>
      <xdr:rowOff>20731</xdr:rowOff>
    </xdr:to>
    <xdr:sp macro="" textlink="">
      <xdr:nvSpPr>
        <xdr:cNvPr id="2" name="CustomShape 1"/>
        <xdr:cNvSpPr/>
      </xdr:nvSpPr>
      <xdr:spPr>
        <a:xfrm>
          <a:off x="11628808" y="744312"/>
          <a:ext cx="2719764" cy="1427948"/>
        </a:xfrm>
        <a:prstGeom prst="rect">
          <a:avLst/>
        </a:prstGeom>
        <a:gradFill>
          <a:gsLst>
            <a:gs pos="0">
              <a:srgbClr val="B7DEE8"/>
            </a:gs>
            <a:gs pos="100000">
              <a:srgbClr val="DBEEF4"/>
            </a:gs>
          </a:gsLst>
          <a:lin ang="5400000"/>
        </a:gradFill>
        <a:ln w="15840">
          <a:solidFill>
            <a:srgbClr val="31859C"/>
          </a:solidFill>
          <a:round/>
        </a:ln>
      </xdr:spPr>
      <xdr:txBody>
        <a:bodyPr lIns="90000" tIns="45000" rIns="90000" bIns="45000"/>
        <a:lstStyle/>
        <a:p>
          <a:r>
            <a:rPr lang="nb-NO" sz="1100" b="1">
              <a:solidFill>
                <a:srgbClr val="000000"/>
              </a:solidFill>
              <a:latin typeface="Calibri"/>
            </a:rPr>
            <a:t>NOTIS:</a:t>
          </a:r>
          <a:endParaRPr/>
        </a:p>
        <a:p>
          <a:endParaRPr/>
        </a:p>
        <a:p>
          <a:pPr marL="228600" indent="-228600">
            <a:buFont typeface="+mj-lt"/>
            <a:buAutoNum type="arabicPeriod"/>
          </a:pPr>
          <a:r>
            <a:rPr lang="nb-NO" sz="1100">
              <a:solidFill>
                <a:srgbClr val="000000"/>
              </a:solidFill>
              <a:latin typeface="Calibri"/>
            </a:rPr>
            <a:t>Det er forventa 16 bedpresar tilsaman høst og vår. To av desse er inntektsført i hovedsamarbeidsavtalen. Difor skilnaden mellom gebyr-bespisning.</a:t>
          </a:r>
          <a:endParaRPr lang="nb-NO" sz="1100">
            <a:solidFill>
              <a:sysClr val="windowText" lastClr="000000"/>
            </a:solidFill>
            <a:latin typeface="+mn-lt"/>
          </a:endParaRPr>
        </a:p>
        <a:p>
          <a:pPr marL="228600" indent="-228600">
            <a:buFont typeface="+mj-lt"/>
            <a:buAutoNum type="arabicPeriod"/>
          </a:pPr>
          <a:r>
            <a:rPr lang="nb-NO" sz="1100">
              <a:solidFill>
                <a:srgbClr val="000000"/>
              </a:solidFill>
              <a:latin typeface="Calibri"/>
            </a:rPr>
            <a:t>Det er ikkje alltid det er naudsynt med taxi, difor er det budsjettert litt lavare. </a:t>
          </a:r>
          <a:endParaRPr/>
        </a:p>
      </xdr:txBody>
    </xdr:sp>
    <xdr:clientData/>
  </xdr:twoCellAnchor>
  <xdr:twoCellAnchor editAs="absolute">
    <xdr:from>
      <xdr:col>16</xdr:col>
      <xdr:colOff>58655</xdr:colOff>
      <xdr:row>14</xdr:row>
      <xdr:rowOff>17685</xdr:rowOff>
    </xdr:from>
    <xdr:to>
      <xdr:col>20</xdr:col>
      <xdr:colOff>433482</xdr:colOff>
      <xdr:row>22</xdr:row>
      <xdr:rowOff>89222</xdr:rowOff>
    </xdr:to>
    <xdr:sp macro="" textlink="">
      <xdr:nvSpPr>
        <xdr:cNvPr id="3" name="CustomShape 1"/>
        <xdr:cNvSpPr/>
      </xdr:nvSpPr>
      <xdr:spPr>
        <a:xfrm>
          <a:off x="11613320" y="3155332"/>
          <a:ext cx="2750475" cy="1853272"/>
        </a:xfrm>
        <a:prstGeom prst="rect">
          <a:avLst/>
        </a:prstGeom>
        <a:gradFill>
          <a:gsLst>
            <a:gs pos="0">
              <a:srgbClr val="B7DEE8"/>
            </a:gs>
            <a:gs pos="100000">
              <a:srgbClr val="DBEEF4"/>
            </a:gs>
          </a:gsLst>
          <a:lin ang="5400000"/>
        </a:gradFill>
        <a:ln w="15840">
          <a:solidFill>
            <a:srgbClr val="31859C"/>
          </a:solidFill>
          <a:round/>
        </a:ln>
      </xdr:spPr>
      <xdr:txBody>
        <a:bodyPr lIns="90000" tIns="45000" rIns="90000" bIns="45000"/>
        <a:lstStyle/>
        <a:p>
          <a:r>
            <a:rPr lang="nb-NO" sz="1100" b="1">
              <a:solidFill>
                <a:srgbClr val="000000"/>
              </a:solidFill>
              <a:latin typeface="Calibri"/>
            </a:rPr>
            <a:t>NOTIS:</a:t>
          </a:r>
          <a:endParaRPr/>
        </a:p>
        <a:p>
          <a:endParaRPr/>
        </a:p>
        <a:p>
          <a:pPr marL="228600" indent="-228600">
            <a:buFont typeface="+mj-lt"/>
            <a:buAutoNum type="arabicPeriod" startAt="3"/>
          </a:pPr>
          <a:r>
            <a:rPr lang="nb-NO" sz="1100">
              <a:solidFill>
                <a:srgbClr val="000000"/>
              </a:solidFill>
              <a:latin typeface="Calibri"/>
            </a:rPr>
            <a:t>Vi budsjetterar med mulig endring av hovudsamarbeidspartner. Dette gir behov for nye t-skjorter og roll-up. </a:t>
          </a:r>
          <a:endParaRPr lang="nb-NO" sz="1100">
            <a:solidFill>
              <a:sysClr val="windowText" lastClr="000000"/>
            </a:solidFill>
            <a:latin typeface="+mn-lt"/>
          </a:endParaRPr>
        </a:p>
        <a:p>
          <a:pPr marL="228600" indent="-228600">
            <a:buFont typeface="+mj-lt"/>
            <a:buAutoNum type="arabicPeriod" startAt="3"/>
          </a:pPr>
          <a:r>
            <a:rPr lang="nb-NO" sz="1100">
              <a:solidFill>
                <a:srgbClr val="000000"/>
              </a:solidFill>
              <a:latin typeface="Calibri"/>
            </a:rPr>
            <a:t>Etter opptak treng dei nye visittkort og dei som har brukt får påfyll.</a:t>
          </a:r>
          <a:endParaRPr lang="nb-NO" sz="1100">
            <a:solidFill>
              <a:sysClr val="windowText" lastClr="000000"/>
            </a:solidFill>
            <a:latin typeface="+mn-lt"/>
          </a:endParaRPr>
        </a:p>
        <a:p>
          <a:pPr marL="228600" indent="-228600">
            <a:buFont typeface="+mj-lt"/>
            <a:buAutoNum type="arabicPeriod" startAt="3"/>
          </a:pPr>
          <a:r>
            <a:rPr lang="nb-NO" sz="1100">
              <a:solidFill>
                <a:srgbClr val="000000"/>
              </a:solidFill>
              <a:latin typeface="Calibri"/>
            </a:rPr>
            <a:t>Produktark tek for seg alle Onlines produkt og tenestar.</a:t>
          </a:r>
          <a:endParaRPr/>
        </a:p>
      </xdr:txBody>
    </xdr:sp>
    <xdr:clientData/>
  </xdr:twoCellAnchor>
  <xdr:twoCellAnchor editAs="absolute">
    <xdr:from>
      <xdr:col>16</xdr:col>
      <xdr:colOff>49093</xdr:colOff>
      <xdr:row>22</xdr:row>
      <xdr:rowOff>178006</xdr:rowOff>
    </xdr:from>
    <xdr:to>
      <xdr:col>20</xdr:col>
      <xdr:colOff>437509</xdr:colOff>
      <xdr:row>29</xdr:row>
      <xdr:rowOff>90411</xdr:rowOff>
    </xdr:to>
    <xdr:sp macro="" textlink="">
      <xdr:nvSpPr>
        <xdr:cNvPr id="4" name="CustomShape 1"/>
        <xdr:cNvSpPr/>
      </xdr:nvSpPr>
      <xdr:spPr>
        <a:xfrm>
          <a:off x="11603758" y="5097388"/>
          <a:ext cx="2764064" cy="1324347"/>
        </a:xfrm>
        <a:prstGeom prst="rect">
          <a:avLst/>
        </a:prstGeom>
        <a:gradFill>
          <a:gsLst>
            <a:gs pos="0">
              <a:srgbClr val="B7DEE8"/>
            </a:gs>
            <a:gs pos="100000">
              <a:srgbClr val="DBEEF4"/>
            </a:gs>
          </a:gsLst>
          <a:lin ang="5400000"/>
        </a:gradFill>
        <a:ln w="15840">
          <a:solidFill>
            <a:srgbClr val="31859C"/>
          </a:solidFill>
          <a:round/>
        </a:ln>
      </xdr:spPr>
      <xdr:txBody>
        <a:bodyPr lIns="90000" tIns="45000" rIns="90000" bIns="45000"/>
        <a:lstStyle/>
        <a:p>
          <a:r>
            <a:rPr lang="nb-NO" sz="1100" b="1">
              <a:solidFill>
                <a:srgbClr val="000000"/>
              </a:solidFill>
              <a:latin typeface="Calibri"/>
            </a:rPr>
            <a:t>NOTIS:</a:t>
          </a:r>
          <a:endParaRPr/>
        </a:p>
        <a:p>
          <a:endParaRPr/>
        </a:p>
        <a:p>
          <a:pPr marL="228600" indent="-228600">
            <a:buFont typeface="+mj-lt"/>
            <a:buAutoNum type="arabicPeriod" startAt="6"/>
          </a:pPr>
          <a:r>
            <a:rPr lang="nb-NO" sz="1100">
              <a:solidFill>
                <a:srgbClr val="000000"/>
              </a:solidFill>
              <a:latin typeface="Calibri"/>
            </a:rPr>
            <a:t>Inntektsfører heile hovudsponsoravtalen og utgiftsfører dei avtalefesta  arrangementa som skal til andre komitéar. </a:t>
          </a:r>
          <a:endParaRPr/>
        </a:p>
      </xdr:txBody>
    </xdr:sp>
    <xdr:clientData/>
  </xdr:twoCellAnchor>
  <xdr:twoCellAnchor editAs="absolute">
    <xdr:from>
      <xdr:col>16</xdr:col>
      <xdr:colOff>60299</xdr:colOff>
      <xdr:row>30</xdr:row>
      <xdr:rowOff>180045</xdr:rowOff>
    </xdr:from>
    <xdr:to>
      <xdr:col>20</xdr:col>
      <xdr:colOff>448715</xdr:colOff>
      <xdr:row>37</xdr:row>
      <xdr:rowOff>182885</xdr:rowOff>
    </xdr:to>
    <xdr:sp macro="" textlink="">
      <xdr:nvSpPr>
        <xdr:cNvPr id="5" name="CustomShape 1"/>
        <xdr:cNvSpPr/>
      </xdr:nvSpPr>
      <xdr:spPr>
        <a:xfrm>
          <a:off x="11614964" y="6701869"/>
          <a:ext cx="2764064" cy="1425987"/>
        </a:xfrm>
        <a:prstGeom prst="rect">
          <a:avLst/>
        </a:prstGeom>
        <a:gradFill>
          <a:gsLst>
            <a:gs pos="0">
              <a:srgbClr val="B7DEE8"/>
            </a:gs>
            <a:gs pos="100000">
              <a:srgbClr val="DBEEF4"/>
            </a:gs>
          </a:gsLst>
          <a:lin ang="5400000"/>
        </a:gradFill>
        <a:ln w="15840">
          <a:solidFill>
            <a:srgbClr val="31859C"/>
          </a:solidFill>
          <a:round/>
        </a:ln>
      </xdr:spPr>
      <xdr:txBody>
        <a:bodyPr lIns="90000" tIns="45000" rIns="90000" bIns="45000"/>
        <a:lstStyle/>
        <a:p>
          <a:r>
            <a:rPr lang="nb-NO" sz="1100" b="1">
              <a:solidFill>
                <a:srgbClr val="000000"/>
              </a:solidFill>
              <a:latin typeface="Calibri"/>
            </a:rPr>
            <a:t>NOTIS:</a:t>
          </a:r>
          <a:endParaRPr/>
        </a:p>
        <a:p>
          <a:endParaRPr/>
        </a:p>
        <a:p>
          <a:pPr marL="228600" indent="-228600">
            <a:buFont typeface="+mj-lt"/>
            <a:buAutoNum type="arabicPeriod" startAt="7"/>
          </a:pPr>
          <a:r>
            <a:rPr lang="nb-NO" sz="1100">
              <a:solidFill>
                <a:srgbClr val="000000"/>
              </a:solidFill>
              <a:latin typeface="Calibri"/>
            </a:rPr>
            <a:t>Uforutsette utgifter tek for seg til dømes: Feil ved matbestilling,  problemar ved gebyr osv.</a:t>
          </a:r>
          <a:endParaRPr lang="nb-NO" sz="1100">
            <a:solidFill>
              <a:sysClr val="windowText" lastClr="000000"/>
            </a:solidFill>
            <a:latin typeface="+mn-lt"/>
          </a:endParaRPr>
        </a:p>
        <a:p>
          <a:pPr marL="228600" indent="-228600">
            <a:buFont typeface="+mj-lt"/>
            <a:buAutoNum type="arabicPeriod" startAt="7"/>
          </a:pPr>
          <a:r>
            <a:rPr lang="nb-NO" sz="1100">
              <a:solidFill>
                <a:srgbClr val="000000"/>
              </a:solidFill>
              <a:latin typeface="Calibri"/>
            </a:rPr>
            <a:t>Utstyrsposten inneber ting som t.d. "presentasjonsklikker", batteri osv.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5" workbookViewId="0">
      <selection activeCell="L40" sqref="L40"/>
    </sheetView>
  </sheetViews>
  <sheetFormatPr defaultColWidth="8.85546875" defaultRowHeight="15" x14ac:dyDescent="0.25"/>
  <cols>
    <col min="3" max="3" width="10" style="1" bestFit="1" customWidth="1"/>
    <col min="4" max="4" width="9.7109375" style="1" bestFit="1" customWidth="1"/>
    <col min="5" max="5" width="10" style="1" bestFit="1" customWidth="1"/>
    <col min="7" max="7" width="8.85546875" hidden="1" customWidth="1"/>
    <col min="8" max="8" width="34.140625" bestFit="1" customWidth="1"/>
    <col min="9" max="9" width="13.85546875" bestFit="1" customWidth="1"/>
    <col min="10" max="10" width="14.85546875" bestFit="1" customWidth="1"/>
  </cols>
  <sheetData>
    <row r="1" spans="1:10" x14ac:dyDescent="0.25">
      <c r="A1" s="2" t="s">
        <v>0</v>
      </c>
      <c r="B1" s="2"/>
      <c r="C1" s="3" t="s">
        <v>1</v>
      </c>
      <c r="D1" s="3" t="s">
        <v>2</v>
      </c>
      <c r="E1" s="3" t="s">
        <v>3</v>
      </c>
      <c r="G1" s="4" t="s">
        <v>4</v>
      </c>
      <c r="I1" s="5" t="s">
        <v>5</v>
      </c>
      <c r="J1" s="6" t="s">
        <v>5</v>
      </c>
    </row>
    <row r="2" spans="1:10" x14ac:dyDescent="0.25">
      <c r="I2" s="7" t="s">
        <v>6</v>
      </c>
      <c r="J2" s="6" t="s">
        <v>241</v>
      </c>
    </row>
    <row r="3" spans="1:10" x14ac:dyDescent="0.25">
      <c r="A3" s="8" t="s">
        <v>7</v>
      </c>
      <c r="C3" s="9"/>
      <c r="D3" s="10"/>
      <c r="E3" s="9"/>
      <c r="H3" s="11" t="s">
        <v>7</v>
      </c>
      <c r="I3" s="12"/>
      <c r="J3" s="12"/>
    </row>
    <row r="4" spans="1:10" x14ac:dyDescent="0.25">
      <c r="A4" t="s">
        <v>8</v>
      </c>
      <c r="C4" s="9">
        <v>40000</v>
      </c>
      <c r="D4" s="10">
        <v>0</v>
      </c>
      <c r="E4" s="9">
        <f t="shared" ref="E4:E12" si="0">SUM(C4:D4)</f>
        <v>40000</v>
      </c>
      <c r="G4" t="s">
        <v>9</v>
      </c>
      <c r="H4" s="13" t="s">
        <v>10</v>
      </c>
      <c r="I4" s="12">
        <v>0</v>
      </c>
      <c r="J4" s="12">
        <v>0</v>
      </c>
    </row>
    <row r="5" spans="1:10" x14ac:dyDescent="0.25">
      <c r="A5" t="s">
        <v>11</v>
      </c>
      <c r="C5" s="9">
        <v>4000</v>
      </c>
      <c r="D5" s="10">
        <v>0</v>
      </c>
      <c r="E5" s="9">
        <f t="shared" si="0"/>
        <v>4000</v>
      </c>
      <c r="G5" t="s">
        <v>12</v>
      </c>
      <c r="H5" s="13" t="s">
        <v>13</v>
      </c>
      <c r="I5" s="12">
        <v>0</v>
      </c>
      <c r="J5" s="12">
        <v>0</v>
      </c>
    </row>
    <row r="6" spans="1:10" x14ac:dyDescent="0.25">
      <c r="A6" t="s">
        <v>14</v>
      </c>
      <c r="C6" s="9">
        <v>32000</v>
      </c>
      <c r="D6" s="10">
        <v>0</v>
      </c>
      <c r="E6" s="9">
        <f t="shared" si="0"/>
        <v>32000</v>
      </c>
      <c r="G6" t="s">
        <v>15</v>
      </c>
      <c r="H6" s="13" t="s">
        <v>16</v>
      </c>
      <c r="I6" s="12">
        <v>4000</v>
      </c>
      <c r="J6" s="12">
        <v>100</v>
      </c>
    </row>
    <row r="7" spans="1:10" x14ac:dyDescent="0.25">
      <c r="A7" t="s">
        <v>17</v>
      </c>
      <c r="C7" s="9">
        <v>500</v>
      </c>
      <c r="D7" s="10">
        <v>0</v>
      </c>
      <c r="E7" s="9">
        <f t="shared" si="0"/>
        <v>500</v>
      </c>
      <c r="G7" t="s">
        <v>18</v>
      </c>
      <c r="H7" s="13" t="s">
        <v>19</v>
      </c>
      <c r="I7" s="12">
        <v>35000</v>
      </c>
      <c r="J7" s="12">
        <v>44800</v>
      </c>
    </row>
    <row r="8" spans="1:10" x14ac:dyDescent="0.25">
      <c r="A8" t="s">
        <v>20</v>
      </c>
      <c r="C8" s="9">
        <v>100000</v>
      </c>
      <c r="D8" s="10">
        <v>0</v>
      </c>
      <c r="E8" s="9">
        <f t="shared" si="0"/>
        <v>100000</v>
      </c>
      <c r="G8" t="s">
        <v>21</v>
      </c>
      <c r="H8" s="13" t="s">
        <v>22</v>
      </c>
      <c r="I8" s="12">
        <v>15000</v>
      </c>
      <c r="J8" s="12">
        <v>27200</v>
      </c>
    </row>
    <row r="9" spans="1:10" x14ac:dyDescent="0.25">
      <c r="A9" t="s">
        <v>23</v>
      </c>
      <c r="C9" s="9">
        <v>85000</v>
      </c>
      <c r="D9" s="10">
        <v>0</v>
      </c>
      <c r="E9" s="9">
        <f t="shared" si="0"/>
        <v>85000</v>
      </c>
      <c r="G9" t="s">
        <v>24</v>
      </c>
      <c r="H9" s="13" t="s">
        <v>25</v>
      </c>
      <c r="I9" s="12">
        <v>0</v>
      </c>
      <c r="J9" s="12">
        <v>82350</v>
      </c>
    </row>
    <row r="10" spans="1:10" x14ac:dyDescent="0.25">
      <c r="A10" t="s">
        <v>26</v>
      </c>
      <c r="C10" s="9">
        <v>0</v>
      </c>
      <c r="D10" s="10">
        <v>200</v>
      </c>
      <c r="E10" s="9">
        <f t="shared" si="0"/>
        <v>200</v>
      </c>
      <c r="G10" t="s">
        <v>27</v>
      </c>
      <c r="H10" s="13" t="s">
        <v>28</v>
      </c>
      <c r="I10" s="12">
        <v>10000</v>
      </c>
      <c r="J10" s="12">
        <v>11947</v>
      </c>
    </row>
    <row r="11" spans="1:10" x14ac:dyDescent="0.25">
      <c r="A11" t="s">
        <v>29</v>
      </c>
      <c r="C11" s="9">
        <v>1000</v>
      </c>
      <c r="D11" s="10">
        <v>1000</v>
      </c>
      <c r="E11" s="9">
        <f t="shared" si="0"/>
        <v>2000</v>
      </c>
      <c r="G11" t="s">
        <v>30</v>
      </c>
      <c r="H11" s="14" t="s">
        <v>31</v>
      </c>
      <c r="I11" s="12">
        <v>0</v>
      </c>
      <c r="J11" s="12">
        <v>96910</v>
      </c>
    </row>
    <row r="12" spans="1:10" x14ac:dyDescent="0.25">
      <c r="A12" s="15" t="s">
        <v>32</v>
      </c>
      <c r="B12" s="15"/>
      <c r="C12" s="16">
        <f>SUM(C4:C11)</f>
        <v>262500</v>
      </c>
      <c r="D12" s="17">
        <f>SUM(D4:D11)</f>
        <v>1200</v>
      </c>
      <c r="E12" s="16">
        <f t="shared" si="0"/>
        <v>263700</v>
      </c>
      <c r="H12" s="13" t="s">
        <v>33</v>
      </c>
      <c r="I12" s="12">
        <v>80000</v>
      </c>
      <c r="J12" s="12">
        <v>79500.84</v>
      </c>
    </row>
    <row r="13" spans="1:10" x14ac:dyDescent="0.25">
      <c r="C13" s="9"/>
      <c r="D13" s="10"/>
      <c r="E13" s="9"/>
      <c r="H13" s="14" t="s">
        <v>49</v>
      </c>
      <c r="I13" s="12">
        <v>0</v>
      </c>
      <c r="J13" s="12">
        <v>45785.91</v>
      </c>
    </row>
    <row r="14" spans="1:10" x14ac:dyDescent="0.25">
      <c r="A14" s="8" t="s">
        <v>35</v>
      </c>
      <c r="C14" s="9"/>
      <c r="D14" s="10"/>
      <c r="E14" s="9"/>
      <c r="H14" s="14" t="s">
        <v>50</v>
      </c>
      <c r="I14" s="12">
        <v>0</v>
      </c>
      <c r="J14" s="12">
        <v>27.21</v>
      </c>
    </row>
    <row r="15" spans="1:10" x14ac:dyDescent="0.25">
      <c r="A15" t="s">
        <v>36</v>
      </c>
      <c r="C15" s="9">
        <v>1000</v>
      </c>
      <c r="D15" s="10">
        <v>1000</v>
      </c>
      <c r="E15" s="9">
        <f t="shared" ref="E15:E33" si="1">SUM(C15:D15)</f>
        <v>2000</v>
      </c>
      <c r="H15" s="14" t="s">
        <v>52</v>
      </c>
      <c r="I15" s="12">
        <v>0</v>
      </c>
      <c r="J15" s="12">
        <v>4849</v>
      </c>
    </row>
    <row r="16" spans="1:10" x14ac:dyDescent="0.25">
      <c r="A16" t="s">
        <v>11</v>
      </c>
      <c r="C16" s="9">
        <v>7000</v>
      </c>
      <c r="D16" s="10">
        <v>0</v>
      </c>
      <c r="E16" s="9">
        <f t="shared" si="1"/>
        <v>7000</v>
      </c>
      <c r="H16" s="18" t="s">
        <v>17</v>
      </c>
      <c r="I16" s="19">
        <v>500</v>
      </c>
      <c r="J16" s="19">
        <v>0</v>
      </c>
    </row>
    <row r="17" spans="1:10" x14ac:dyDescent="0.25">
      <c r="A17" t="s">
        <v>38</v>
      </c>
      <c r="C17" s="9">
        <v>0</v>
      </c>
      <c r="D17" s="10">
        <v>1000</v>
      </c>
      <c r="E17" s="9">
        <f t="shared" si="1"/>
        <v>1000</v>
      </c>
      <c r="H17" s="18" t="s">
        <v>54</v>
      </c>
      <c r="I17" s="19">
        <v>75000</v>
      </c>
      <c r="J17" s="19"/>
    </row>
    <row r="18" spans="1:10" x14ac:dyDescent="0.25">
      <c r="A18" t="s">
        <v>8</v>
      </c>
      <c r="C18" s="9">
        <v>60000</v>
      </c>
      <c r="D18" s="10">
        <v>0</v>
      </c>
      <c r="E18" s="9">
        <f t="shared" si="1"/>
        <v>60000</v>
      </c>
      <c r="G18" t="s">
        <v>40</v>
      </c>
      <c r="H18" s="20" t="s">
        <v>32</v>
      </c>
      <c r="I18" s="21">
        <f>SUM(I4:I17)</f>
        <v>219500</v>
      </c>
      <c r="J18" s="21">
        <f>SUM(J4:J17)</f>
        <v>393469.96</v>
      </c>
    </row>
    <row r="19" spans="1:10" x14ac:dyDescent="0.25">
      <c r="A19" t="s">
        <v>14</v>
      </c>
      <c r="C19" s="9">
        <v>40000</v>
      </c>
      <c r="D19" s="10">
        <v>0</v>
      </c>
      <c r="E19" s="9">
        <f t="shared" si="1"/>
        <v>40000</v>
      </c>
      <c r="G19" t="s">
        <v>42</v>
      </c>
      <c r="I19" s="12"/>
      <c r="J19" s="12"/>
    </row>
    <row r="20" spans="1:10" x14ac:dyDescent="0.25">
      <c r="A20" t="s">
        <v>17</v>
      </c>
      <c r="C20" s="9">
        <v>500</v>
      </c>
      <c r="D20" s="10">
        <v>0</v>
      </c>
      <c r="E20" s="9">
        <f t="shared" si="1"/>
        <v>500</v>
      </c>
      <c r="H20" s="11" t="s">
        <v>35</v>
      </c>
      <c r="I20" s="12"/>
      <c r="J20" s="12"/>
    </row>
    <row r="21" spans="1:10" x14ac:dyDescent="0.25">
      <c r="A21" t="s">
        <v>45</v>
      </c>
      <c r="C21" s="9">
        <v>3500</v>
      </c>
      <c r="D21" s="10">
        <v>3500</v>
      </c>
      <c r="E21" s="9">
        <f t="shared" si="1"/>
        <v>7000</v>
      </c>
      <c r="G21" t="s">
        <v>30</v>
      </c>
      <c r="H21" s="13" t="s">
        <v>65</v>
      </c>
      <c r="I21" s="12">
        <v>0</v>
      </c>
      <c r="J21" s="12">
        <v>199.5</v>
      </c>
    </row>
    <row r="22" spans="1:10" x14ac:dyDescent="0.25">
      <c r="A22" t="s">
        <v>47</v>
      </c>
      <c r="C22" s="9">
        <v>1500</v>
      </c>
      <c r="D22" s="10">
        <v>1500</v>
      </c>
      <c r="E22" s="9">
        <f t="shared" si="1"/>
        <v>3000</v>
      </c>
      <c r="G22" t="s">
        <v>48</v>
      </c>
      <c r="H22" s="13" t="s">
        <v>68</v>
      </c>
      <c r="I22" s="12">
        <v>1900</v>
      </c>
      <c r="J22" s="12">
        <v>0</v>
      </c>
    </row>
    <row r="23" spans="1:10" x14ac:dyDescent="0.25">
      <c r="A23" t="s">
        <v>20</v>
      </c>
      <c r="C23" s="9">
        <v>100000</v>
      </c>
      <c r="D23" s="10">
        <v>0</v>
      </c>
      <c r="E23" s="9">
        <f t="shared" si="1"/>
        <v>100000</v>
      </c>
      <c r="H23" s="14" t="s">
        <v>69</v>
      </c>
      <c r="I23" s="12">
        <v>0</v>
      </c>
      <c r="J23" s="12">
        <v>0</v>
      </c>
    </row>
    <row r="24" spans="1:10" x14ac:dyDescent="0.25">
      <c r="A24" t="s">
        <v>51</v>
      </c>
      <c r="C24" s="9">
        <v>0</v>
      </c>
      <c r="D24" s="10">
        <v>7000</v>
      </c>
      <c r="E24" s="9">
        <f t="shared" si="1"/>
        <v>7000</v>
      </c>
      <c r="H24" s="14" t="s">
        <v>70</v>
      </c>
      <c r="I24" s="12">
        <v>0</v>
      </c>
      <c r="J24" s="12">
        <v>0</v>
      </c>
    </row>
    <row r="25" spans="1:10" x14ac:dyDescent="0.25">
      <c r="A25" t="s">
        <v>23</v>
      </c>
      <c r="C25" s="9">
        <v>85000</v>
      </c>
      <c r="D25" s="10">
        <v>0</v>
      </c>
      <c r="E25" s="9">
        <f t="shared" si="1"/>
        <v>85000</v>
      </c>
      <c r="H25" s="13" t="s">
        <v>72</v>
      </c>
      <c r="I25" s="12">
        <v>2000</v>
      </c>
      <c r="J25" s="12">
        <v>0</v>
      </c>
    </row>
    <row r="26" spans="1:10" x14ac:dyDescent="0.25">
      <c r="A26" t="s">
        <v>53</v>
      </c>
      <c r="C26" s="9">
        <v>500</v>
      </c>
      <c r="D26" s="10">
        <v>500</v>
      </c>
      <c r="E26" s="9">
        <f t="shared" si="1"/>
        <v>1000</v>
      </c>
      <c r="H26" s="13" t="s">
        <v>73</v>
      </c>
      <c r="I26" s="12">
        <v>2000</v>
      </c>
      <c r="J26" s="12">
        <v>1179</v>
      </c>
    </row>
    <row r="27" spans="1:10" x14ac:dyDescent="0.25">
      <c r="A27" t="s">
        <v>55</v>
      </c>
      <c r="C27" s="9">
        <v>1050</v>
      </c>
      <c r="D27" s="10">
        <v>900</v>
      </c>
      <c r="E27" s="9">
        <f t="shared" si="1"/>
        <v>1950</v>
      </c>
      <c r="G27" t="s">
        <v>56</v>
      </c>
      <c r="H27" s="13" t="s">
        <v>74</v>
      </c>
      <c r="I27" s="12">
        <v>0</v>
      </c>
      <c r="J27" s="12">
        <v>0</v>
      </c>
    </row>
    <row r="28" spans="1:10" x14ac:dyDescent="0.25">
      <c r="A28" t="s">
        <v>57</v>
      </c>
      <c r="C28" s="9">
        <v>500</v>
      </c>
      <c r="D28" s="10">
        <v>500</v>
      </c>
      <c r="E28" s="9">
        <f t="shared" si="1"/>
        <v>1000</v>
      </c>
      <c r="G28" t="s">
        <v>58</v>
      </c>
      <c r="H28" s="13" t="s">
        <v>79</v>
      </c>
      <c r="I28" s="12">
        <v>0</v>
      </c>
      <c r="J28" s="12">
        <v>2600</v>
      </c>
    </row>
    <row r="29" spans="1:10" x14ac:dyDescent="0.25">
      <c r="A29" t="s">
        <v>59</v>
      </c>
      <c r="C29" s="9">
        <v>3000</v>
      </c>
      <c r="D29" s="10">
        <v>200</v>
      </c>
      <c r="E29" s="9">
        <f t="shared" si="1"/>
        <v>3200</v>
      </c>
      <c r="G29" t="s">
        <v>58</v>
      </c>
      <c r="H29" s="13" t="s">
        <v>80</v>
      </c>
      <c r="I29" s="12">
        <v>0</v>
      </c>
      <c r="J29" s="12">
        <v>9394.6</v>
      </c>
    </row>
    <row r="30" spans="1:10" x14ac:dyDescent="0.25">
      <c r="A30" t="s">
        <v>26</v>
      </c>
      <c r="C30" s="9">
        <v>0</v>
      </c>
      <c r="D30" s="10">
        <v>500</v>
      </c>
      <c r="E30" s="9">
        <f t="shared" si="1"/>
        <v>500</v>
      </c>
      <c r="H30" s="13" t="s">
        <v>81</v>
      </c>
      <c r="I30" s="12">
        <v>0</v>
      </c>
      <c r="J30" s="12">
        <v>2433.41</v>
      </c>
    </row>
    <row r="31" spans="1:10" x14ac:dyDescent="0.25">
      <c r="A31" t="s">
        <v>61</v>
      </c>
      <c r="C31" s="9">
        <v>0</v>
      </c>
      <c r="D31" s="10">
        <v>2000</v>
      </c>
      <c r="E31" s="9">
        <f t="shared" si="1"/>
        <v>2000</v>
      </c>
      <c r="H31" s="13" t="s">
        <v>82</v>
      </c>
      <c r="I31" s="12">
        <v>7000</v>
      </c>
      <c r="J31" s="12">
        <v>369</v>
      </c>
    </row>
    <row r="32" spans="1:10" x14ac:dyDescent="0.25">
      <c r="A32" t="s">
        <v>63</v>
      </c>
      <c r="C32" s="9">
        <v>2000</v>
      </c>
      <c r="D32" s="10">
        <v>2000</v>
      </c>
      <c r="E32" s="9">
        <f t="shared" si="1"/>
        <v>4000</v>
      </c>
      <c r="G32" t="s">
        <v>64</v>
      </c>
      <c r="H32" s="13" t="s">
        <v>83</v>
      </c>
      <c r="I32" s="12">
        <v>0</v>
      </c>
      <c r="J32" s="12">
        <v>0</v>
      </c>
    </row>
    <row r="33" spans="1:10" x14ac:dyDescent="0.25">
      <c r="A33" s="15" t="s">
        <v>32</v>
      </c>
      <c r="B33" s="15"/>
      <c r="C33" s="16">
        <f>SUM(C15:C31)</f>
        <v>303550</v>
      </c>
      <c r="D33" s="17">
        <f>SUM(D15:D31)</f>
        <v>18600</v>
      </c>
      <c r="E33" s="16">
        <f t="shared" si="1"/>
        <v>322150</v>
      </c>
      <c r="H33" s="13" t="s">
        <v>84</v>
      </c>
      <c r="I33" s="12">
        <v>50000</v>
      </c>
      <c r="J33" s="12">
        <v>66687</v>
      </c>
    </row>
    <row r="34" spans="1:10" x14ac:dyDescent="0.25">
      <c r="C34" s="9"/>
      <c r="D34" s="10"/>
      <c r="E34" s="9"/>
      <c r="H34" s="13" t="s">
        <v>85</v>
      </c>
      <c r="I34" s="12">
        <v>0</v>
      </c>
      <c r="J34" s="12">
        <v>137913</v>
      </c>
    </row>
    <row r="35" spans="1:10" x14ac:dyDescent="0.25">
      <c r="A35" s="15" t="s">
        <v>66</v>
      </c>
      <c r="B35" s="22"/>
      <c r="C35" s="16">
        <f>C12-C33</f>
        <v>-41050</v>
      </c>
      <c r="D35" s="17">
        <f>D12-D33</f>
        <v>-17400</v>
      </c>
      <c r="E35" s="16">
        <f>E12-E33</f>
        <v>-58450</v>
      </c>
      <c r="H35" s="13" t="s">
        <v>86</v>
      </c>
      <c r="I35" s="12">
        <v>18000</v>
      </c>
      <c r="J35" s="12">
        <v>32063.75</v>
      </c>
    </row>
    <row r="36" spans="1:10" x14ac:dyDescent="0.25">
      <c r="H36" s="13" t="s">
        <v>87</v>
      </c>
      <c r="I36" s="12">
        <v>0</v>
      </c>
      <c r="J36" s="12">
        <v>0</v>
      </c>
    </row>
    <row r="37" spans="1:10" x14ac:dyDescent="0.25">
      <c r="H37" s="13" t="s">
        <v>88</v>
      </c>
      <c r="I37" s="12">
        <v>400</v>
      </c>
      <c r="J37" s="12">
        <v>313</v>
      </c>
    </row>
    <row r="38" spans="1:10" x14ac:dyDescent="0.25">
      <c r="H38" s="13" t="s">
        <v>89</v>
      </c>
      <c r="I38" s="12">
        <v>0</v>
      </c>
      <c r="J38" s="12">
        <v>0</v>
      </c>
    </row>
    <row r="39" spans="1:10" x14ac:dyDescent="0.25">
      <c r="H39" s="13" t="s">
        <v>90</v>
      </c>
      <c r="I39" s="12">
        <v>4000</v>
      </c>
      <c r="J39" s="12">
        <v>12447</v>
      </c>
    </row>
    <row r="40" spans="1:10" x14ac:dyDescent="0.25">
      <c r="H40" s="14" t="s">
        <v>91</v>
      </c>
      <c r="I40" s="12">
        <v>0</v>
      </c>
      <c r="J40" s="12">
        <v>89515</v>
      </c>
    </row>
    <row r="41" spans="1:10" x14ac:dyDescent="0.25">
      <c r="A41" s="13"/>
      <c r="H41" s="13" t="s">
        <v>92</v>
      </c>
      <c r="I41" s="12">
        <v>7000</v>
      </c>
      <c r="J41" s="12">
        <v>0</v>
      </c>
    </row>
    <row r="42" spans="1:10" x14ac:dyDescent="0.25">
      <c r="A42" s="13"/>
      <c r="H42" s="13" t="s">
        <v>93</v>
      </c>
      <c r="I42" s="12">
        <v>80000</v>
      </c>
      <c r="J42" s="12">
        <v>23618</v>
      </c>
    </row>
    <row r="43" spans="1:10" x14ac:dyDescent="0.25">
      <c r="A43" s="13"/>
      <c r="H43" s="13" t="s">
        <v>96</v>
      </c>
      <c r="I43" s="12">
        <v>0</v>
      </c>
      <c r="J43" s="12">
        <v>350</v>
      </c>
    </row>
    <row r="44" spans="1:10" x14ac:dyDescent="0.25">
      <c r="A44" s="13"/>
      <c r="H44" s="14" t="s">
        <v>99</v>
      </c>
      <c r="I44" s="12">
        <v>4000</v>
      </c>
      <c r="J44" s="12">
        <v>236</v>
      </c>
    </row>
    <row r="45" spans="1:10" x14ac:dyDescent="0.25">
      <c r="A45" s="13"/>
      <c r="H45" t="s">
        <v>100</v>
      </c>
      <c r="I45" s="19">
        <v>1000</v>
      </c>
      <c r="J45" s="19">
        <v>0</v>
      </c>
    </row>
    <row r="46" spans="1:10" x14ac:dyDescent="0.25">
      <c r="A46" s="13"/>
      <c r="H46" t="s">
        <v>101</v>
      </c>
      <c r="I46" s="19">
        <v>4000</v>
      </c>
      <c r="J46" s="19">
        <v>0</v>
      </c>
    </row>
    <row r="47" spans="1:10" x14ac:dyDescent="0.25">
      <c r="A47" s="13"/>
      <c r="H47" t="s">
        <v>54</v>
      </c>
      <c r="I47" s="19">
        <v>75000</v>
      </c>
      <c r="J47" s="19">
        <v>0</v>
      </c>
    </row>
    <row r="48" spans="1:10" x14ac:dyDescent="0.25">
      <c r="A48" s="13"/>
      <c r="H48" s="15" t="s">
        <v>32</v>
      </c>
      <c r="I48" s="21">
        <f>SUM(I21:I47)</f>
        <v>256300</v>
      </c>
      <c r="J48" s="21">
        <f>SUM(J21:J47)</f>
        <v>379318.26</v>
      </c>
    </row>
    <row r="49" spans="1:10" x14ac:dyDescent="0.25">
      <c r="A49" s="13"/>
      <c r="I49" s="23"/>
      <c r="J49" s="23"/>
    </row>
    <row r="50" spans="1:10" x14ac:dyDescent="0.25">
      <c r="A50" s="13"/>
      <c r="H50" s="15" t="s">
        <v>102</v>
      </c>
      <c r="I50" s="21">
        <f>I18-I48</f>
        <v>-36800</v>
      </c>
      <c r="J50" s="21">
        <f>J18-J48</f>
        <v>14151.700000000012</v>
      </c>
    </row>
    <row r="51" spans="1:10" x14ac:dyDescent="0.25">
      <c r="A51" s="13"/>
    </row>
    <row r="52" spans="1:10" x14ac:dyDescent="0.25">
      <c r="A52" s="13"/>
    </row>
    <row r="53" spans="1:10" x14ac:dyDescent="0.25">
      <c r="A53" s="13"/>
    </row>
  </sheetData>
  <pageMargins left="0.7" right="0.7" top="0.75" bottom="0.75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F21" sqref="F21"/>
    </sheetView>
  </sheetViews>
  <sheetFormatPr defaultColWidth="8.85546875" defaultRowHeight="15" x14ac:dyDescent="0.25"/>
  <cols>
    <col min="1" max="1" width="24.42578125" bestFit="1" customWidth="1"/>
    <col min="2" max="2" width="12.85546875" bestFit="1" customWidth="1"/>
    <col min="3" max="3" width="14" style="1" bestFit="1" customWidth="1"/>
    <col min="4" max="5" width="8.85546875" style="1"/>
  </cols>
  <sheetData>
    <row r="1" spans="1:6" x14ac:dyDescent="0.25">
      <c r="A1" s="2" t="s">
        <v>204</v>
      </c>
      <c r="B1" s="2"/>
      <c r="C1" s="3" t="s">
        <v>1</v>
      </c>
      <c r="D1" s="3" t="s">
        <v>2</v>
      </c>
      <c r="E1" s="3" t="s">
        <v>3</v>
      </c>
    </row>
    <row r="3" spans="1:6" x14ac:dyDescent="0.25">
      <c r="A3" s="8" t="s">
        <v>7</v>
      </c>
      <c r="C3" s="57"/>
      <c r="D3" s="10"/>
      <c r="E3" s="57"/>
    </row>
    <row r="4" spans="1:6" x14ac:dyDescent="0.25">
      <c r="A4" t="s">
        <v>205</v>
      </c>
      <c r="C4" s="57">
        <v>7500</v>
      </c>
      <c r="D4" s="10">
        <v>7500</v>
      </c>
      <c r="E4" s="57">
        <f>C4+D4</f>
        <v>15000</v>
      </c>
    </row>
    <row r="5" spans="1:6" x14ac:dyDescent="0.25">
      <c r="A5" t="s">
        <v>206</v>
      </c>
      <c r="C5" s="57">
        <v>1500</v>
      </c>
      <c r="D5" s="10">
        <v>1500</v>
      </c>
      <c r="E5" s="57">
        <f>C5+D5</f>
        <v>3000</v>
      </c>
    </row>
    <row r="6" spans="1:6" x14ac:dyDescent="0.25">
      <c r="A6" s="15" t="s">
        <v>32</v>
      </c>
      <c r="B6" s="22"/>
      <c r="C6" s="16">
        <f>SUM(C4:C5)</f>
        <v>9000</v>
      </c>
      <c r="D6" s="17">
        <f>SUM(D4:D5)</f>
        <v>9000</v>
      </c>
      <c r="E6" s="16">
        <f>SUM(E4:E5)</f>
        <v>18000</v>
      </c>
    </row>
    <row r="7" spans="1:6" x14ac:dyDescent="0.25">
      <c r="C7" s="57"/>
      <c r="D7" s="10"/>
      <c r="E7" s="57"/>
    </row>
    <row r="8" spans="1:6" x14ac:dyDescent="0.25">
      <c r="A8" s="8" t="s">
        <v>35</v>
      </c>
      <c r="C8" s="57"/>
      <c r="D8" s="10"/>
      <c r="E8" s="57"/>
    </row>
    <row r="9" spans="1:6" x14ac:dyDescent="0.25">
      <c r="A9" t="s">
        <v>207</v>
      </c>
      <c r="C9" s="57">
        <v>3700</v>
      </c>
      <c r="D9" s="10">
        <v>3700</v>
      </c>
      <c r="E9" s="57">
        <f>SUM(C9:D9)</f>
        <v>7400</v>
      </c>
    </row>
    <row r="10" spans="1:6" x14ac:dyDescent="0.25">
      <c r="A10" t="s">
        <v>165</v>
      </c>
      <c r="C10" s="57">
        <v>3000</v>
      </c>
      <c r="D10" s="10">
        <v>3000</v>
      </c>
      <c r="E10" s="57">
        <f>SUM(C10:D10)</f>
        <v>6000</v>
      </c>
    </row>
    <row r="11" spans="1:6" x14ac:dyDescent="0.25">
      <c r="A11" t="s">
        <v>208</v>
      </c>
      <c r="C11" s="57">
        <v>1000</v>
      </c>
      <c r="D11" s="10">
        <v>1000</v>
      </c>
      <c r="E11" s="57">
        <f>SUM(C11:D11)</f>
        <v>2000</v>
      </c>
    </row>
    <row r="12" spans="1:6" x14ac:dyDescent="0.25">
      <c r="A12" s="15" t="s">
        <v>32</v>
      </c>
      <c r="B12" s="22"/>
      <c r="C12" s="16">
        <f>SUM(C9:C11)</f>
        <v>7700</v>
      </c>
      <c r="D12" s="17">
        <f>SUM(D9:D11)</f>
        <v>7700</v>
      </c>
      <c r="E12" s="16">
        <f>SUM(E9:E11)</f>
        <v>15400</v>
      </c>
    </row>
    <row r="13" spans="1:6" x14ac:dyDescent="0.25">
      <c r="C13" s="57"/>
      <c r="D13" s="10"/>
      <c r="E13" s="57"/>
    </row>
    <row r="14" spans="1:6" x14ac:dyDescent="0.25">
      <c r="A14" s="15" t="s">
        <v>102</v>
      </c>
      <c r="B14" s="22"/>
      <c r="C14" s="16">
        <f>C6-C12</f>
        <v>1300</v>
      </c>
      <c r="D14" s="17">
        <f>D6-D12</f>
        <v>1300</v>
      </c>
      <c r="E14" s="16">
        <f>SUM(C14:D14)</f>
        <v>2600</v>
      </c>
      <c r="F14" s="8"/>
    </row>
    <row r="17" spans="1:3" x14ac:dyDescent="0.25">
      <c r="C17"/>
    </row>
    <row r="18" spans="1:3" x14ac:dyDescent="0.25">
      <c r="B18" s="91" t="s">
        <v>236</v>
      </c>
      <c r="C18" s="91" t="s">
        <v>223</v>
      </c>
    </row>
    <row r="19" spans="1:3" x14ac:dyDescent="0.25">
      <c r="A19" s="91" t="s">
        <v>7</v>
      </c>
      <c r="B19" s="94"/>
      <c r="C19" s="105"/>
    </row>
    <row r="20" spans="1:3" x14ac:dyDescent="0.25">
      <c r="A20" t="s">
        <v>205</v>
      </c>
      <c r="B20" s="94">
        <v>6250</v>
      </c>
      <c r="C20" s="105">
        <f>153*50</f>
        <v>7650</v>
      </c>
    </row>
    <row r="21" spans="1:3" x14ac:dyDescent="0.25">
      <c r="A21" t="s">
        <v>206</v>
      </c>
      <c r="B21" s="94">
        <v>2000</v>
      </c>
      <c r="C21" s="105">
        <v>3000</v>
      </c>
    </row>
    <row r="22" spans="1:3" ht="15.75" thickBot="1" x14ac:dyDescent="0.3">
      <c r="A22" s="92" t="s">
        <v>237</v>
      </c>
      <c r="B22" s="107">
        <f>SUM(B20:B21)</f>
        <v>8250</v>
      </c>
      <c r="C22" s="106">
        <f>C20+C21</f>
        <v>10650</v>
      </c>
    </row>
    <row r="23" spans="1:3" ht="15.75" thickTop="1" x14ac:dyDescent="0.25">
      <c r="B23" s="94"/>
      <c r="C23" s="105"/>
    </row>
    <row r="24" spans="1:3" x14ac:dyDescent="0.25">
      <c r="A24" s="91" t="s">
        <v>35</v>
      </c>
      <c r="B24" s="94"/>
      <c r="C24" s="105"/>
    </row>
    <row r="25" spans="1:3" x14ac:dyDescent="0.25">
      <c r="A25" t="s">
        <v>207</v>
      </c>
      <c r="B25" s="94">
        <v>2100</v>
      </c>
      <c r="C25" s="105">
        <v>3450</v>
      </c>
    </row>
    <row r="26" spans="1:3" x14ac:dyDescent="0.25">
      <c r="A26" t="s">
        <v>165</v>
      </c>
      <c r="B26" s="94">
        <v>2800</v>
      </c>
      <c r="C26" s="105">
        <v>2800</v>
      </c>
    </row>
    <row r="27" spans="1:3" x14ac:dyDescent="0.25">
      <c r="A27" t="s">
        <v>208</v>
      </c>
      <c r="B27" s="94">
        <v>2500</v>
      </c>
      <c r="C27" s="105">
        <v>0</v>
      </c>
    </row>
    <row r="28" spans="1:3" ht="15.75" thickBot="1" x14ac:dyDescent="0.3">
      <c r="A28" s="92" t="s">
        <v>238</v>
      </c>
      <c r="B28" s="107">
        <f>SUM(B25:B27)</f>
        <v>7400</v>
      </c>
      <c r="C28" s="106">
        <f>C25+C26</f>
        <v>6250</v>
      </c>
    </row>
    <row r="29" spans="1:3" ht="15.75" thickTop="1" x14ac:dyDescent="0.25">
      <c r="B29" s="94"/>
      <c r="C29" s="105"/>
    </row>
    <row r="30" spans="1:3" ht="15.75" thickBot="1" x14ac:dyDescent="0.3">
      <c r="A30" s="92" t="s">
        <v>102</v>
      </c>
      <c r="B30" s="107">
        <f>B22-B28</f>
        <v>850</v>
      </c>
      <c r="C30" s="106">
        <f>C22-C28</f>
        <v>4400</v>
      </c>
    </row>
    <row r="31" spans="1:3" ht="15.75" thickTop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12" sqref="L12"/>
    </sheetView>
  </sheetViews>
  <sheetFormatPr defaultColWidth="8.85546875" defaultRowHeight="15" x14ac:dyDescent="0.25"/>
  <cols>
    <col min="2" max="2" width="10" bestFit="1" customWidth="1"/>
    <col min="3" max="3" width="9.7109375" bestFit="1" customWidth="1"/>
    <col min="4" max="4" width="10" bestFit="1" customWidth="1"/>
    <col min="5" max="5" width="9.7109375" bestFit="1" customWidth="1"/>
    <col min="6" max="6" width="10" bestFit="1" customWidth="1"/>
    <col min="7" max="7" width="10.7109375" bestFit="1" customWidth="1"/>
    <col min="8" max="8" width="10" bestFit="1" customWidth="1"/>
    <col min="10" max="10" width="9.7109375" bestFit="1" customWidth="1"/>
    <col min="11" max="11" width="9" bestFit="1" customWidth="1"/>
    <col min="12" max="12" width="11.42578125" bestFit="1" customWidth="1"/>
  </cols>
  <sheetData>
    <row r="1" spans="1:12" x14ac:dyDescent="0.25">
      <c r="A1" s="119" t="s">
        <v>209</v>
      </c>
      <c r="B1" s="119"/>
    </row>
    <row r="3" spans="1:12" x14ac:dyDescent="0.25">
      <c r="A3" s="8" t="s">
        <v>210</v>
      </c>
      <c r="B3" s="8" t="s">
        <v>211</v>
      </c>
      <c r="C3" s="8" t="s">
        <v>212</v>
      </c>
      <c r="D3" s="8" t="s">
        <v>213</v>
      </c>
      <c r="E3" s="8" t="s">
        <v>214</v>
      </c>
      <c r="F3" s="8" t="s">
        <v>215</v>
      </c>
      <c r="G3" s="8" t="s">
        <v>216</v>
      </c>
      <c r="H3" s="8" t="s">
        <v>217</v>
      </c>
      <c r="I3" s="8" t="s">
        <v>218</v>
      </c>
      <c r="J3" s="8" t="s">
        <v>219</v>
      </c>
      <c r="K3" s="8" t="s">
        <v>220</v>
      </c>
      <c r="L3" s="8" t="s">
        <v>3</v>
      </c>
    </row>
    <row r="4" spans="1:12" x14ac:dyDescent="0.25">
      <c r="A4" s="8" t="s">
        <v>143</v>
      </c>
      <c r="B4" s="10">
        <f>(arrKom!E12)</f>
        <v>263700</v>
      </c>
      <c r="C4" s="10">
        <v>0</v>
      </c>
      <c r="D4" s="10">
        <f>(bedKom!O48)</f>
        <v>840000</v>
      </c>
      <c r="E4" s="10">
        <f>(dotKom!E5)</f>
        <v>30000</v>
      </c>
      <c r="F4" s="10">
        <f>(fagKom!E6)</f>
        <v>190000</v>
      </c>
      <c r="G4" s="10">
        <f>(HS!E9)</f>
        <v>15000</v>
      </c>
      <c r="H4" s="10">
        <f>(proKom!E10)</f>
        <v>174875</v>
      </c>
      <c r="I4" s="10">
        <f>(velKom!E9)</f>
        <v>48000</v>
      </c>
      <c r="J4" s="10">
        <f>(triKom!E5)</f>
        <v>10000</v>
      </c>
      <c r="K4" s="10">
        <f>(studLAN!E6)</f>
        <v>18000</v>
      </c>
      <c r="L4" s="62">
        <f>SUM(B4:K4)</f>
        <v>1589575</v>
      </c>
    </row>
    <row r="5" spans="1:12" x14ac:dyDescent="0.25">
      <c r="A5" s="8" t="s">
        <v>192</v>
      </c>
      <c r="B5" s="72">
        <f>(arrKom!E33)</f>
        <v>322150</v>
      </c>
      <c r="C5" s="72">
        <f>(banKom!E7)</f>
        <v>14200</v>
      </c>
      <c r="D5" s="72">
        <f>(bedKom!O49)</f>
        <v>617650</v>
      </c>
      <c r="E5" s="72">
        <f>(dotKom!E14)</f>
        <v>71600</v>
      </c>
      <c r="F5" s="72">
        <f>(fagKom!E16)</f>
        <v>87200</v>
      </c>
      <c r="G5" s="72">
        <f>(HS!E29)</f>
        <v>200260</v>
      </c>
      <c r="H5" s="72">
        <f>(proKom!E21)</f>
        <v>204200</v>
      </c>
      <c r="I5" s="72">
        <f>(velKom!E22)</f>
        <v>46000</v>
      </c>
      <c r="J5" s="72">
        <f>(triKom!E13)</f>
        <v>35000</v>
      </c>
      <c r="K5" s="72">
        <f>(studLAN!E12)</f>
        <v>15400</v>
      </c>
      <c r="L5" s="73">
        <f>SUM(B5:K5)</f>
        <v>1613660</v>
      </c>
    </row>
    <row r="6" spans="1:12" x14ac:dyDescent="0.25">
      <c r="A6" s="8" t="s">
        <v>66</v>
      </c>
      <c r="B6" s="74">
        <f>(arrKom!E35)</f>
        <v>-58450</v>
      </c>
      <c r="C6" s="74">
        <v>-14200</v>
      </c>
      <c r="D6" s="74">
        <f t="shared" ref="D6:L6" si="0">D4-D5</f>
        <v>222350</v>
      </c>
      <c r="E6" s="74">
        <f t="shared" si="0"/>
        <v>-41600</v>
      </c>
      <c r="F6" s="74">
        <f t="shared" si="0"/>
        <v>102800</v>
      </c>
      <c r="G6" s="74">
        <f t="shared" si="0"/>
        <v>-185260</v>
      </c>
      <c r="H6" s="74">
        <f t="shared" si="0"/>
        <v>-29325</v>
      </c>
      <c r="I6" s="74">
        <f t="shared" si="0"/>
        <v>2000</v>
      </c>
      <c r="J6" s="74">
        <f t="shared" si="0"/>
        <v>-25000</v>
      </c>
      <c r="K6" s="74">
        <f t="shared" si="0"/>
        <v>2600</v>
      </c>
      <c r="L6" s="75">
        <f t="shared" si="0"/>
        <v>-24085</v>
      </c>
    </row>
  </sheetData>
  <mergeCells count="1">
    <mergeCell ref="A1:B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6" sqref="E16"/>
    </sheetView>
  </sheetViews>
  <sheetFormatPr defaultColWidth="8.85546875" defaultRowHeight="15" x14ac:dyDescent="0.25"/>
  <cols>
    <col min="1" max="1" width="21.140625" bestFit="1" customWidth="1"/>
    <col min="7" max="7" width="15.85546875" bestFit="1" customWidth="1"/>
    <col min="9" max="9" width="8.85546875" style="23"/>
  </cols>
  <sheetData>
    <row r="1" spans="1:5" x14ac:dyDescent="0.25">
      <c r="A1" s="2" t="s">
        <v>103</v>
      </c>
      <c r="B1" s="2"/>
      <c r="C1" s="2" t="s">
        <v>1</v>
      </c>
      <c r="D1" s="2" t="s">
        <v>2</v>
      </c>
      <c r="E1" s="2" t="s">
        <v>3</v>
      </c>
    </row>
    <row r="3" spans="1:5" x14ac:dyDescent="0.25">
      <c r="A3" s="8" t="s">
        <v>35</v>
      </c>
      <c r="C3" s="24"/>
      <c r="D3" s="25"/>
      <c r="E3" s="24"/>
    </row>
    <row r="4" spans="1:5" x14ac:dyDescent="0.25">
      <c r="A4" t="s">
        <v>104</v>
      </c>
      <c r="C4" s="9">
        <v>500</v>
      </c>
      <c r="D4" s="9">
        <v>500</v>
      </c>
      <c r="E4" s="9">
        <f>C4+D4</f>
        <v>1000</v>
      </c>
    </row>
    <row r="5" spans="1:5" x14ac:dyDescent="0.25">
      <c r="A5" t="s">
        <v>105</v>
      </c>
      <c r="C5" s="9">
        <v>1000</v>
      </c>
      <c r="D5" s="9">
        <v>1000</v>
      </c>
      <c r="E5" s="9">
        <f>C5+D5</f>
        <v>2000</v>
      </c>
    </row>
    <row r="6" spans="1:5" x14ac:dyDescent="0.25">
      <c r="A6" t="s">
        <v>106</v>
      </c>
      <c r="C6" s="9">
        <v>4800</v>
      </c>
      <c r="D6" s="9">
        <v>6400</v>
      </c>
      <c r="E6" s="9">
        <f>C6+D6</f>
        <v>11200</v>
      </c>
    </row>
    <row r="7" spans="1:5" x14ac:dyDescent="0.25">
      <c r="A7" s="26" t="s">
        <v>32</v>
      </c>
      <c r="B7" s="27"/>
      <c r="C7" s="28">
        <f>SUM(C4:C6)</f>
        <v>6300</v>
      </c>
      <c r="D7" s="28">
        <f>SUM(D4:D6)</f>
        <v>7900</v>
      </c>
      <c r="E7" s="28">
        <f>SUM(E4:E6)</f>
        <v>14200</v>
      </c>
    </row>
    <row r="11" spans="1:5" x14ac:dyDescent="0.25">
      <c r="A11" s="2" t="s">
        <v>223</v>
      </c>
      <c r="C11" s="23"/>
    </row>
    <row r="12" spans="1:5" x14ac:dyDescent="0.25">
      <c r="C12" s="23"/>
    </row>
    <row r="13" spans="1:5" x14ac:dyDescent="0.25">
      <c r="A13" s="91" t="s">
        <v>35</v>
      </c>
      <c r="C13" s="89"/>
    </row>
    <row r="14" spans="1:5" x14ac:dyDescent="0.25">
      <c r="A14" t="s">
        <v>47</v>
      </c>
      <c r="C14" s="89">
        <v>1500</v>
      </c>
    </row>
    <row r="15" spans="1:5" x14ac:dyDescent="0.25">
      <c r="A15" t="s">
        <v>224</v>
      </c>
      <c r="C15" s="89">
        <v>199.5</v>
      </c>
    </row>
    <row r="16" spans="1:5" ht="15.75" thickBot="1" x14ac:dyDescent="0.3">
      <c r="A16" s="92" t="s">
        <v>32</v>
      </c>
      <c r="B16" s="92"/>
      <c r="C16" s="93">
        <f>C14+C15</f>
        <v>1699.5</v>
      </c>
    </row>
    <row r="17" spans="3:3" ht="15.75" thickTop="1" x14ac:dyDescent="0.25">
      <c r="C17" s="23"/>
    </row>
  </sheetData>
  <pageMargins left="0.7" right="0.7" top="0.75" bottom="0.75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zoomScale="70" zoomScaleNormal="70" zoomScalePageLayoutView="7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C14" sqref="AC14"/>
    </sheetView>
  </sheetViews>
  <sheetFormatPr defaultColWidth="8.85546875" defaultRowHeight="15" x14ac:dyDescent="0.25"/>
  <cols>
    <col min="3" max="3" width="25.85546875" bestFit="1" customWidth="1"/>
    <col min="4" max="4" width="8.85546875" customWidth="1"/>
    <col min="5" max="6" width="12.140625" customWidth="1"/>
    <col min="7" max="8" width="8.85546875" customWidth="1"/>
    <col min="9" max="10" width="12.140625" customWidth="1"/>
    <col min="11" max="11" width="8.85546875" customWidth="1"/>
    <col min="12" max="12" width="1.42578125" customWidth="1"/>
    <col min="13" max="13" width="8.85546875" customWidth="1"/>
    <col min="14" max="14" width="12.42578125" bestFit="1" customWidth="1"/>
    <col min="15" max="15" width="13.85546875" bestFit="1" customWidth="1"/>
    <col min="24" max="24" width="34.140625" bestFit="1" customWidth="1"/>
    <col min="25" max="26" width="14.85546875" bestFit="1" customWidth="1"/>
  </cols>
  <sheetData>
    <row r="1" spans="1:31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9"/>
      <c r="R1" s="29"/>
      <c r="S1" s="29"/>
      <c r="T1" s="29"/>
      <c r="U1" s="29"/>
    </row>
    <row r="2" spans="1:31" ht="19.5" x14ac:dyDescent="0.3">
      <c r="A2" s="30"/>
      <c r="B2" s="2" t="s">
        <v>108</v>
      </c>
      <c r="C2" s="2"/>
      <c r="D2" s="31" t="s">
        <v>109</v>
      </c>
      <c r="E2" s="118" t="s">
        <v>110</v>
      </c>
      <c r="F2" s="118"/>
      <c r="G2" s="32"/>
      <c r="H2" s="31" t="s">
        <v>109</v>
      </c>
      <c r="I2" s="118" t="s">
        <v>111</v>
      </c>
      <c r="J2" s="118"/>
      <c r="K2" s="32"/>
      <c r="L2" s="33"/>
      <c r="M2" s="30"/>
      <c r="N2" s="118" t="s">
        <v>112</v>
      </c>
      <c r="O2" s="118"/>
      <c r="P2" s="30"/>
      <c r="Q2" s="30"/>
      <c r="R2" s="30"/>
      <c r="S2" s="30"/>
      <c r="T2" s="30"/>
      <c r="U2" s="30"/>
    </row>
    <row r="3" spans="1:31" x14ac:dyDescent="0.25">
      <c r="E3" s="34" t="s">
        <v>7</v>
      </c>
      <c r="F3" s="34" t="s">
        <v>35</v>
      </c>
      <c r="I3" s="34" t="s">
        <v>7</v>
      </c>
      <c r="J3" s="34" t="s">
        <v>35</v>
      </c>
      <c r="K3" s="34"/>
      <c r="L3" s="35"/>
      <c r="N3" s="34" t="s">
        <v>7</v>
      </c>
      <c r="O3" s="34" t="s">
        <v>35</v>
      </c>
      <c r="Y3" s="85" t="s">
        <v>213</v>
      </c>
      <c r="Z3" s="63" t="s">
        <v>213</v>
      </c>
    </row>
    <row r="4" spans="1:31" ht="18.75" x14ac:dyDescent="0.3">
      <c r="B4" s="3" t="s">
        <v>113</v>
      </c>
      <c r="C4" s="3"/>
      <c r="D4" s="36"/>
      <c r="E4" s="37"/>
      <c r="F4" s="38"/>
      <c r="H4" s="36"/>
      <c r="I4" s="37"/>
      <c r="J4" s="38"/>
      <c r="K4" s="39"/>
      <c r="L4" s="40"/>
      <c r="M4" s="41"/>
      <c r="N4" s="37">
        <f t="shared" ref="N4:O11" si="0">E4+I4</f>
        <v>0</v>
      </c>
      <c r="O4" s="38">
        <f t="shared" si="0"/>
        <v>0</v>
      </c>
      <c r="Y4" s="63" t="s">
        <v>241</v>
      </c>
      <c r="Z4" s="79" t="s">
        <v>222</v>
      </c>
    </row>
    <row r="5" spans="1:31" ht="17.25" x14ac:dyDescent="0.25">
      <c r="C5" t="s">
        <v>114</v>
      </c>
      <c r="D5" s="36">
        <v>7</v>
      </c>
      <c r="E5" s="42">
        <f>D5*15000</f>
        <v>105000</v>
      </c>
      <c r="F5" s="43"/>
      <c r="H5" s="36">
        <v>7</v>
      </c>
      <c r="I5" s="42">
        <f>H5*15000</f>
        <v>105000</v>
      </c>
      <c r="J5" s="43"/>
      <c r="K5" s="39"/>
      <c r="L5" s="35"/>
      <c r="N5" s="42">
        <f t="shared" si="0"/>
        <v>210000</v>
      </c>
      <c r="O5" s="43">
        <f t="shared" si="0"/>
        <v>0</v>
      </c>
      <c r="X5" s="11" t="s">
        <v>7</v>
      </c>
      <c r="Y5" s="12"/>
      <c r="Z5" s="12"/>
    </row>
    <row r="6" spans="1:31" ht="17.25" x14ac:dyDescent="0.25">
      <c r="C6" t="s">
        <v>115</v>
      </c>
      <c r="D6" s="36">
        <f>D5+1</f>
        <v>8</v>
      </c>
      <c r="E6" s="37">
        <f>D6*30000</f>
        <v>240000</v>
      </c>
      <c r="F6" s="38">
        <f>D6*30000</f>
        <v>240000</v>
      </c>
      <c r="H6" s="36">
        <f>H5+1</f>
        <v>8</v>
      </c>
      <c r="I6" s="37">
        <f>H6*30000</f>
        <v>240000</v>
      </c>
      <c r="J6" s="38">
        <f>H6*30000</f>
        <v>240000</v>
      </c>
      <c r="K6" s="39"/>
      <c r="L6" s="35"/>
      <c r="N6" s="37">
        <f t="shared" si="0"/>
        <v>480000</v>
      </c>
      <c r="O6" s="38">
        <f t="shared" si="0"/>
        <v>480000</v>
      </c>
      <c r="X6" s="13" t="s">
        <v>10</v>
      </c>
      <c r="Y6" s="12">
        <v>0</v>
      </c>
      <c r="Z6" s="12">
        <v>0</v>
      </c>
    </row>
    <row r="7" spans="1:31" x14ac:dyDescent="0.25">
      <c r="C7" t="s">
        <v>116</v>
      </c>
      <c r="D7" s="36">
        <f>(D5+1)*10</f>
        <v>80</v>
      </c>
      <c r="E7" s="42"/>
      <c r="F7" s="43">
        <f>D7*15</f>
        <v>1200</v>
      </c>
      <c r="H7" s="36">
        <f>(H5+1)*10</f>
        <v>80</v>
      </c>
      <c r="I7" s="42"/>
      <c r="J7" s="43">
        <f>H7*15</f>
        <v>1200</v>
      </c>
      <c r="K7" s="39"/>
      <c r="L7" s="35"/>
      <c r="N7" s="42">
        <f t="shared" si="0"/>
        <v>0</v>
      </c>
      <c r="O7" s="43">
        <f t="shared" si="0"/>
        <v>2400</v>
      </c>
      <c r="X7" s="13" t="s">
        <v>37</v>
      </c>
      <c r="Y7" s="12">
        <v>0</v>
      </c>
      <c r="Z7" s="12">
        <v>150000</v>
      </c>
    </row>
    <row r="8" spans="1:31" x14ac:dyDescent="0.25">
      <c r="C8" t="s">
        <v>117</v>
      </c>
      <c r="D8" s="36">
        <f>(D5+1)*180</f>
        <v>1440</v>
      </c>
      <c r="E8" s="37"/>
      <c r="F8" s="38">
        <f>D8*0.5</f>
        <v>720</v>
      </c>
      <c r="H8" s="36">
        <f>(H5+1)*180</f>
        <v>1440</v>
      </c>
      <c r="I8" s="44"/>
      <c r="J8" s="38">
        <f>H8*0.5</f>
        <v>720</v>
      </c>
      <c r="K8" s="39"/>
      <c r="L8" s="35"/>
      <c r="N8" s="37">
        <f t="shared" si="0"/>
        <v>0</v>
      </c>
      <c r="O8" s="38">
        <f t="shared" si="0"/>
        <v>1440</v>
      </c>
      <c r="X8" s="13" t="s">
        <v>41</v>
      </c>
      <c r="Y8" s="12">
        <v>86250</v>
      </c>
      <c r="Z8" s="12">
        <v>210000</v>
      </c>
      <c r="AA8" s="86"/>
    </row>
    <row r="9" spans="1:31" x14ac:dyDescent="0.25">
      <c r="C9" t="s">
        <v>118</v>
      </c>
      <c r="D9" s="36">
        <f>D5+1</f>
        <v>8</v>
      </c>
      <c r="E9" s="42"/>
      <c r="F9" s="43">
        <f>D9*1600</f>
        <v>12800</v>
      </c>
      <c r="H9" s="36">
        <f>H5+1</f>
        <v>8</v>
      </c>
      <c r="I9" s="42"/>
      <c r="J9" s="43">
        <f>H9*1600</f>
        <v>12800</v>
      </c>
      <c r="K9" s="39"/>
      <c r="L9" s="35"/>
      <c r="N9" s="42">
        <f t="shared" si="0"/>
        <v>0</v>
      </c>
      <c r="O9" s="43">
        <f t="shared" si="0"/>
        <v>25600</v>
      </c>
      <c r="X9" s="13" t="s">
        <v>43</v>
      </c>
      <c r="Y9" s="12">
        <v>103049</v>
      </c>
      <c r="Z9" s="12">
        <v>480000</v>
      </c>
    </row>
    <row r="10" spans="1:31" ht="17.25" x14ac:dyDescent="0.25">
      <c r="C10" t="s">
        <v>119</v>
      </c>
      <c r="D10" s="36">
        <v>5</v>
      </c>
      <c r="E10" s="37"/>
      <c r="F10" s="38">
        <f>D10*250</f>
        <v>1250</v>
      </c>
      <c r="H10" s="36">
        <v>5</v>
      </c>
      <c r="I10" s="37"/>
      <c r="J10" s="38">
        <f>H10*250</f>
        <v>1250</v>
      </c>
      <c r="K10" s="39"/>
      <c r="L10" s="35"/>
      <c r="N10" s="37">
        <f t="shared" si="0"/>
        <v>0</v>
      </c>
      <c r="O10" s="38">
        <f t="shared" si="0"/>
        <v>2500</v>
      </c>
      <c r="X10" s="13" t="s">
        <v>44</v>
      </c>
      <c r="Y10" s="12">
        <v>0</v>
      </c>
      <c r="Z10" s="12">
        <v>0</v>
      </c>
      <c r="AE10" s="1"/>
    </row>
    <row r="11" spans="1:31" x14ac:dyDescent="0.25">
      <c r="C11" t="s">
        <v>120</v>
      </c>
      <c r="D11" s="36">
        <v>8</v>
      </c>
      <c r="E11" s="42"/>
      <c r="F11" s="43">
        <f>D11*100</f>
        <v>800</v>
      </c>
      <c r="H11" s="36">
        <v>8</v>
      </c>
      <c r="I11" s="42"/>
      <c r="J11" s="43">
        <f>H11*100</f>
        <v>800</v>
      </c>
      <c r="K11" s="39"/>
      <c r="L11" s="35"/>
      <c r="N11" s="42">
        <f t="shared" si="0"/>
        <v>0</v>
      </c>
      <c r="O11" s="43">
        <f t="shared" si="0"/>
        <v>1600</v>
      </c>
      <c r="X11" s="13" t="s">
        <v>46</v>
      </c>
      <c r="Y11" s="12">
        <v>0</v>
      </c>
      <c r="Z11" s="12">
        <v>0</v>
      </c>
    </row>
    <row r="12" spans="1:31" x14ac:dyDescent="0.25">
      <c r="D12" s="36"/>
      <c r="E12" s="37"/>
      <c r="F12" s="38"/>
      <c r="H12" s="36"/>
      <c r="I12" s="37"/>
      <c r="J12" s="38"/>
      <c r="K12" s="39"/>
      <c r="L12" s="35"/>
      <c r="N12" s="37"/>
      <c r="O12" s="38"/>
      <c r="X12" s="14" t="s">
        <v>49</v>
      </c>
      <c r="Y12" s="12">
        <v>0</v>
      </c>
      <c r="Z12" s="12">
        <v>0</v>
      </c>
    </row>
    <row r="13" spans="1:31" x14ac:dyDescent="0.25">
      <c r="B13" s="22"/>
      <c r="C13" s="22" t="s">
        <v>3</v>
      </c>
      <c r="D13" s="45"/>
      <c r="E13" s="46">
        <f>SUM(E5:E12)</f>
        <v>345000</v>
      </c>
      <c r="F13" s="47">
        <f>SUM(F5:F12)</f>
        <v>256770</v>
      </c>
      <c r="G13" s="22"/>
      <c r="H13" s="45"/>
      <c r="I13" s="46">
        <f>SUM(I5:I12)</f>
        <v>345000</v>
      </c>
      <c r="J13" s="47">
        <f>SUM(J5:J12)</f>
        <v>256770</v>
      </c>
      <c r="K13" s="48"/>
      <c r="L13" s="35"/>
      <c r="M13" s="22"/>
      <c r="N13" s="46">
        <f>E13+I13</f>
        <v>690000</v>
      </c>
      <c r="O13" s="47">
        <f>F13+J13</f>
        <v>513540</v>
      </c>
      <c r="P13" s="22"/>
      <c r="X13" s="14" t="s">
        <v>50</v>
      </c>
      <c r="Y13" s="12">
        <v>0</v>
      </c>
      <c r="Z13" s="12">
        <v>0</v>
      </c>
    </row>
    <row r="14" spans="1:31" x14ac:dyDescent="0.25">
      <c r="L14" s="35"/>
      <c r="X14" s="14" t="s">
        <v>52</v>
      </c>
      <c r="Y14" s="12">
        <v>4875.25</v>
      </c>
      <c r="Z14" s="12">
        <v>0</v>
      </c>
      <c r="AE14" s="1"/>
    </row>
    <row r="15" spans="1:31" ht="19.5" thickBot="1" x14ac:dyDescent="0.35">
      <c r="B15" s="3" t="s">
        <v>121</v>
      </c>
      <c r="C15" s="3"/>
      <c r="D15" s="76"/>
      <c r="E15" s="77"/>
      <c r="F15" s="77"/>
      <c r="G15" s="78"/>
      <c r="H15" s="76"/>
      <c r="I15" s="77"/>
      <c r="J15" s="77"/>
      <c r="K15" s="39"/>
      <c r="L15" s="40"/>
      <c r="M15" s="41"/>
      <c r="N15" s="77"/>
      <c r="O15" s="77"/>
      <c r="X15" s="81" t="s">
        <v>32</v>
      </c>
      <c r="Y15" s="82">
        <f>SUM(Y6:Y14)</f>
        <v>194174.25</v>
      </c>
      <c r="Z15" s="82">
        <f>SUM(Z6:Z14)</f>
        <v>840000</v>
      </c>
      <c r="AE15" s="1"/>
    </row>
    <row r="16" spans="1:31" ht="18" thickTop="1" x14ac:dyDescent="0.25">
      <c r="C16" t="s">
        <v>122</v>
      </c>
      <c r="D16" s="36"/>
      <c r="E16" s="42"/>
      <c r="F16" s="43"/>
      <c r="H16" s="36">
        <v>12</v>
      </c>
      <c r="I16" s="42"/>
      <c r="J16" s="43">
        <f>H16*500</f>
        <v>6000</v>
      </c>
      <c r="K16" s="39"/>
      <c r="L16" s="35"/>
      <c r="N16" s="42">
        <f t="shared" ref="N16:O22" si="1">E16+I16</f>
        <v>0</v>
      </c>
      <c r="O16" s="43">
        <f t="shared" si="1"/>
        <v>6000</v>
      </c>
      <c r="X16" s="80"/>
      <c r="Y16" s="77"/>
      <c r="Z16" s="77"/>
      <c r="AE16" s="1"/>
    </row>
    <row r="17" spans="2:32" ht="17.25" x14ac:dyDescent="0.25">
      <c r="C17" t="s">
        <v>123</v>
      </c>
      <c r="D17" s="36"/>
      <c r="E17" s="37"/>
      <c r="F17" s="38"/>
      <c r="H17" s="36">
        <v>1</v>
      </c>
      <c r="I17" s="37"/>
      <c r="J17" s="38">
        <f>H17*2000</f>
        <v>2000</v>
      </c>
      <c r="K17" s="39"/>
      <c r="L17" s="35"/>
      <c r="N17" s="37">
        <f t="shared" si="1"/>
        <v>0</v>
      </c>
      <c r="O17" s="38">
        <f t="shared" si="1"/>
        <v>2000</v>
      </c>
      <c r="X17" s="11" t="s">
        <v>35</v>
      </c>
      <c r="Y17" s="84"/>
      <c r="Z17" s="84"/>
      <c r="AE17" s="1"/>
    </row>
    <row r="18" spans="2:32" x14ac:dyDescent="0.25">
      <c r="C18" t="s">
        <v>124</v>
      </c>
      <c r="D18" s="36">
        <v>10</v>
      </c>
      <c r="E18" s="42"/>
      <c r="F18" s="43">
        <f>D18*15</f>
        <v>150</v>
      </c>
      <c r="H18" s="36"/>
      <c r="I18" s="42"/>
      <c r="J18" s="43"/>
      <c r="K18" s="39"/>
      <c r="L18" s="35"/>
      <c r="N18" s="42">
        <f t="shared" si="1"/>
        <v>0</v>
      </c>
      <c r="O18" s="43">
        <f t="shared" si="1"/>
        <v>150</v>
      </c>
      <c r="X18" s="13" t="s">
        <v>60</v>
      </c>
      <c r="Y18" s="12">
        <v>99.5</v>
      </c>
      <c r="Z18" s="12">
        <v>0</v>
      </c>
    </row>
    <row r="19" spans="2:32" ht="17.25" x14ac:dyDescent="0.25">
      <c r="C19" t="s">
        <v>125</v>
      </c>
      <c r="D19" s="36">
        <v>80</v>
      </c>
      <c r="E19" s="37"/>
      <c r="F19" s="38">
        <f>D19*5</f>
        <v>400</v>
      </c>
      <c r="H19" s="36"/>
      <c r="I19" s="44"/>
      <c r="J19" s="38"/>
      <c r="K19" s="39"/>
      <c r="L19" s="35"/>
      <c r="N19" s="37">
        <f t="shared" si="1"/>
        <v>0</v>
      </c>
      <c r="O19" s="38">
        <f t="shared" si="1"/>
        <v>400</v>
      </c>
      <c r="X19" s="14" t="s">
        <v>62</v>
      </c>
      <c r="Y19" s="12">
        <v>0</v>
      </c>
      <c r="Z19" s="12">
        <v>1600</v>
      </c>
    </row>
    <row r="20" spans="2:32" ht="17.25" x14ac:dyDescent="0.25">
      <c r="C20" t="s">
        <v>126</v>
      </c>
      <c r="D20" s="36">
        <v>50</v>
      </c>
      <c r="E20" s="42"/>
      <c r="F20" s="43">
        <f>D20*5</f>
        <v>250</v>
      </c>
      <c r="H20" s="36"/>
      <c r="I20" s="42"/>
      <c r="J20" s="43"/>
      <c r="K20" s="39"/>
      <c r="L20" s="35"/>
      <c r="N20" s="42">
        <f t="shared" si="1"/>
        <v>0</v>
      </c>
      <c r="O20" s="43">
        <f t="shared" si="1"/>
        <v>250</v>
      </c>
      <c r="X20" s="13" t="s">
        <v>65</v>
      </c>
      <c r="Y20" s="12">
        <v>0</v>
      </c>
      <c r="Z20" s="12">
        <v>2000</v>
      </c>
      <c r="AE20" s="1"/>
    </row>
    <row r="21" spans="2:32" ht="17.25" x14ac:dyDescent="0.25">
      <c r="C21" t="s">
        <v>127</v>
      </c>
      <c r="D21" s="36">
        <v>200</v>
      </c>
      <c r="E21" s="37"/>
      <c r="F21" s="38">
        <f>D21*5</f>
        <v>1000</v>
      </c>
      <c r="H21" s="36"/>
      <c r="I21" s="37"/>
      <c r="J21" s="38"/>
      <c r="K21" s="39"/>
      <c r="L21" s="35"/>
      <c r="N21" s="37">
        <f t="shared" si="1"/>
        <v>0</v>
      </c>
      <c r="O21" s="38">
        <f t="shared" si="1"/>
        <v>1000</v>
      </c>
      <c r="X21" s="13" t="s">
        <v>68</v>
      </c>
      <c r="Y21" s="12">
        <v>12722.5</v>
      </c>
      <c r="Z21" s="12">
        <f>2000+150+400+250+1000</f>
        <v>3800</v>
      </c>
      <c r="AE21" s="1"/>
    </row>
    <row r="22" spans="2:32" ht="17.25" x14ac:dyDescent="0.25">
      <c r="C22" t="s">
        <v>128</v>
      </c>
      <c r="D22" s="36">
        <v>30</v>
      </c>
      <c r="E22" s="42"/>
      <c r="F22" s="43">
        <f>D22*15</f>
        <v>450</v>
      </c>
      <c r="H22" s="36"/>
      <c r="I22" s="42"/>
      <c r="J22" s="43"/>
      <c r="K22" s="39"/>
      <c r="L22" s="35"/>
      <c r="N22" s="42">
        <f t="shared" si="1"/>
        <v>0</v>
      </c>
      <c r="O22" s="43">
        <f t="shared" si="1"/>
        <v>450</v>
      </c>
      <c r="X22" s="14" t="s">
        <v>69</v>
      </c>
      <c r="Y22" s="12">
        <v>150</v>
      </c>
      <c r="Z22" s="12">
        <f>2400+1440</f>
        <v>3840</v>
      </c>
      <c r="AE22" s="1"/>
    </row>
    <row r="23" spans="2:32" x14ac:dyDescent="0.25">
      <c r="D23" s="36"/>
      <c r="E23" s="37"/>
      <c r="F23" s="38"/>
      <c r="H23" s="36"/>
      <c r="I23" s="37"/>
      <c r="J23" s="38"/>
      <c r="K23" s="39"/>
      <c r="L23" s="35"/>
      <c r="N23" s="37"/>
      <c r="O23" s="38"/>
      <c r="X23" s="14" t="s">
        <v>70</v>
      </c>
      <c r="Y23" s="12">
        <v>0</v>
      </c>
      <c r="Z23" s="12">
        <v>450</v>
      </c>
      <c r="AE23" s="1"/>
    </row>
    <row r="24" spans="2:32" x14ac:dyDescent="0.25">
      <c r="B24" s="22"/>
      <c r="C24" s="22" t="s">
        <v>3</v>
      </c>
      <c r="D24" s="45"/>
      <c r="E24" s="46">
        <f>SUM(E16:E23)</f>
        <v>0</v>
      </c>
      <c r="F24" s="47">
        <f>SUM(F16:F23)</f>
        <v>2250</v>
      </c>
      <c r="G24" s="22"/>
      <c r="H24" s="45"/>
      <c r="I24" s="46">
        <f>SUM(I16:I23)</f>
        <v>0</v>
      </c>
      <c r="J24" s="47">
        <f>SUM(J16:J23)</f>
        <v>8000</v>
      </c>
      <c r="K24" s="48"/>
      <c r="L24" s="35"/>
      <c r="M24" s="22"/>
      <c r="N24" s="46">
        <f>E24+I24</f>
        <v>0</v>
      </c>
      <c r="O24" s="47">
        <f>F24+J24</f>
        <v>10250</v>
      </c>
      <c r="P24" s="22"/>
      <c r="X24" s="13" t="s">
        <v>72</v>
      </c>
      <c r="Y24" s="12">
        <v>2136.5</v>
      </c>
      <c r="Z24" s="12">
        <v>6000</v>
      </c>
      <c r="AE24" s="1"/>
    </row>
    <row r="25" spans="2:32" x14ac:dyDescent="0.25">
      <c r="L25" s="35"/>
      <c r="X25" s="13" t="s">
        <v>73</v>
      </c>
      <c r="Y25" s="12">
        <v>0</v>
      </c>
      <c r="Z25" s="12">
        <v>2400</v>
      </c>
    </row>
    <row r="26" spans="2:32" ht="21" x14ac:dyDescent="0.3">
      <c r="B26" s="3" t="s">
        <v>129</v>
      </c>
      <c r="C26" s="3"/>
      <c r="L26" s="35"/>
      <c r="P26" s="49"/>
      <c r="Q26" s="49"/>
      <c r="R26" s="49"/>
      <c r="X26" s="13" t="s">
        <v>74</v>
      </c>
      <c r="Y26" s="12">
        <v>2295.21</v>
      </c>
      <c r="Z26" s="12">
        <v>0</v>
      </c>
    </row>
    <row r="27" spans="2:32" x14ac:dyDescent="0.25">
      <c r="C27" t="s">
        <v>130</v>
      </c>
      <c r="D27" s="36"/>
      <c r="E27" s="42"/>
      <c r="F27" s="43"/>
      <c r="H27" s="36"/>
      <c r="I27" s="42">
        <v>150000</v>
      </c>
      <c r="J27" s="43"/>
      <c r="K27" s="39"/>
      <c r="L27" s="35"/>
      <c r="N27" s="37">
        <f t="shared" ref="N27:O32" si="2">E27+I27</f>
        <v>150000</v>
      </c>
      <c r="O27" s="38">
        <f t="shared" si="2"/>
        <v>0</v>
      </c>
      <c r="X27" s="14" t="s">
        <v>75</v>
      </c>
      <c r="Y27" s="12">
        <v>0</v>
      </c>
      <c r="Z27" s="12">
        <v>0</v>
      </c>
    </row>
    <row r="28" spans="2:32" x14ac:dyDescent="0.25">
      <c r="C28" t="s">
        <v>131</v>
      </c>
      <c r="D28" s="36"/>
      <c r="E28" s="37"/>
      <c r="F28" s="38"/>
      <c r="H28" s="36">
        <v>2</v>
      </c>
      <c r="I28" s="37"/>
      <c r="J28" s="38">
        <f>H28*6000*1.25</f>
        <v>15000</v>
      </c>
      <c r="K28" s="39"/>
      <c r="L28" s="35"/>
      <c r="N28" s="42">
        <f t="shared" si="2"/>
        <v>0</v>
      </c>
      <c r="O28" s="43">
        <f t="shared" si="2"/>
        <v>15000</v>
      </c>
      <c r="X28" s="13" t="s">
        <v>94</v>
      </c>
      <c r="Y28" s="12">
        <v>0</v>
      </c>
      <c r="Z28" s="12">
        <v>0</v>
      </c>
    </row>
    <row r="29" spans="2:32" x14ac:dyDescent="0.25">
      <c r="C29" t="s">
        <v>132</v>
      </c>
      <c r="D29" s="36"/>
      <c r="E29" s="42"/>
      <c r="F29" s="43"/>
      <c r="H29" s="36"/>
      <c r="I29" s="42"/>
      <c r="J29" s="43">
        <v>20000</v>
      </c>
      <c r="K29" s="39"/>
      <c r="L29" s="35"/>
      <c r="N29" s="37">
        <f t="shared" si="2"/>
        <v>0</v>
      </c>
      <c r="O29" s="38">
        <f t="shared" si="2"/>
        <v>20000</v>
      </c>
      <c r="X29" s="13" t="s">
        <v>95</v>
      </c>
      <c r="Y29" s="12">
        <v>145518</v>
      </c>
      <c r="Z29" s="12">
        <v>480000</v>
      </c>
      <c r="AE29" s="1"/>
      <c r="AF29" t="s">
        <v>221</v>
      </c>
    </row>
    <row r="30" spans="2:32" x14ac:dyDescent="0.25">
      <c r="C30" t="s">
        <v>133</v>
      </c>
      <c r="D30" s="36"/>
      <c r="E30" s="37"/>
      <c r="F30" s="38"/>
      <c r="H30" s="36"/>
      <c r="I30" s="44"/>
      <c r="J30" s="38">
        <v>15000</v>
      </c>
      <c r="K30" s="39"/>
      <c r="L30" s="35"/>
      <c r="N30" s="42">
        <f t="shared" si="2"/>
        <v>0</v>
      </c>
      <c r="O30" s="43">
        <f t="shared" si="2"/>
        <v>15000</v>
      </c>
      <c r="X30" s="13" t="s">
        <v>96</v>
      </c>
      <c r="Y30" s="12">
        <v>18385</v>
      </c>
      <c r="Z30" s="12">
        <f>25600+2500</f>
        <v>28100</v>
      </c>
      <c r="AE30" s="1"/>
    </row>
    <row r="31" spans="2:32" x14ac:dyDescent="0.25">
      <c r="C31" t="s">
        <v>134</v>
      </c>
      <c r="D31" s="36"/>
      <c r="E31" s="42"/>
      <c r="F31" s="43"/>
      <c r="H31" s="36">
        <v>4</v>
      </c>
      <c r="I31" s="42"/>
      <c r="J31" s="43">
        <f>H31*5000*1.25</f>
        <v>25000</v>
      </c>
      <c r="K31" s="39"/>
      <c r="L31" s="35"/>
      <c r="N31" s="37">
        <f t="shared" si="2"/>
        <v>0</v>
      </c>
      <c r="O31" s="38">
        <f t="shared" si="2"/>
        <v>25000</v>
      </c>
      <c r="X31" s="14" t="s">
        <v>98</v>
      </c>
      <c r="Y31" s="12">
        <v>137433.41</v>
      </c>
      <c r="Z31" s="12">
        <f>75000</f>
        <v>75000</v>
      </c>
      <c r="AE31" s="1"/>
    </row>
    <row r="32" spans="2:32" x14ac:dyDescent="0.25">
      <c r="D32" s="36"/>
      <c r="E32" s="37"/>
      <c r="F32" s="38"/>
      <c r="H32" s="36"/>
      <c r="I32" s="37"/>
      <c r="J32" s="38"/>
      <c r="K32" s="39"/>
      <c r="L32" s="35"/>
      <c r="N32" s="42">
        <f t="shared" si="2"/>
        <v>0</v>
      </c>
      <c r="O32" s="43">
        <f t="shared" si="2"/>
        <v>0</v>
      </c>
      <c r="X32" s="14" t="s">
        <v>99</v>
      </c>
      <c r="Y32" s="12">
        <v>0</v>
      </c>
      <c r="Z32" s="12">
        <f>6960+7500</f>
        <v>14460</v>
      </c>
    </row>
    <row r="33" spans="2:31" ht="15.75" thickBot="1" x14ac:dyDescent="0.3">
      <c r="D33" s="36"/>
      <c r="E33" s="42"/>
      <c r="F33" s="43"/>
      <c r="H33" s="36"/>
      <c r="I33" s="42"/>
      <c r="J33" s="43"/>
      <c r="K33" s="39"/>
      <c r="L33" s="35"/>
      <c r="N33" s="37"/>
      <c r="O33" s="38"/>
      <c r="X33" s="83" t="s">
        <v>32</v>
      </c>
      <c r="Y33" s="82">
        <f>SUM(Y17:Y32)</f>
        <v>318740.12</v>
      </c>
      <c r="Z33" s="82">
        <f>SUM(Z17:Z32)</f>
        <v>617650</v>
      </c>
    </row>
    <row r="34" spans="2:31" ht="15.75" thickTop="1" x14ac:dyDescent="0.25">
      <c r="B34" s="22"/>
      <c r="C34" s="22" t="s">
        <v>3</v>
      </c>
      <c r="D34" s="45"/>
      <c r="E34" s="46">
        <f>SUM(E27:E33)</f>
        <v>0</v>
      </c>
      <c r="F34" s="47">
        <f>SUM(F27:F33)</f>
        <v>0</v>
      </c>
      <c r="G34" s="22"/>
      <c r="H34" s="45"/>
      <c r="I34" s="46">
        <f>SUM(I27:I33)</f>
        <v>150000</v>
      </c>
      <c r="J34" s="47">
        <f>SUM(J27:J33)</f>
        <v>75000</v>
      </c>
      <c r="K34" s="48"/>
      <c r="L34" s="35"/>
      <c r="M34" s="22"/>
      <c r="N34" s="46">
        <f>E34+I34</f>
        <v>150000</v>
      </c>
      <c r="O34" s="47">
        <f>F34+J34</f>
        <v>75000</v>
      </c>
      <c r="P34" s="22"/>
      <c r="Y34" s="23"/>
      <c r="Z34" s="23"/>
    </row>
    <row r="35" spans="2:31" ht="15.75" thickBot="1" x14ac:dyDescent="0.3">
      <c r="L35" s="35"/>
      <c r="X35" s="83" t="s">
        <v>102</v>
      </c>
      <c r="Y35" s="82">
        <f>Y15-Y33</f>
        <v>-124565.87</v>
      </c>
      <c r="Z35" s="82">
        <f>Z15-Z33</f>
        <v>222350</v>
      </c>
    </row>
    <row r="36" spans="2:31" ht="19.5" thickTop="1" x14ac:dyDescent="0.3">
      <c r="B36" s="3" t="s">
        <v>135</v>
      </c>
      <c r="C36" s="3"/>
      <c r="D36" s="41"/>
      <c r="E36" s="41"/>
      <c r="F36" s="41"/>
      <c r="G36" s="41"/>
      <c r="H36" s="41"/>
      <c r="I36" s="41"/>
      <c r="J36" s="41"/>
      <c r="K36" s="41"/>
      <c r="L36" s="40"/>
      <c r="M36" s="41"/>
      <c r="AE36" s="1"/>
    </row>
    <row r="37" spans="2:31" x14ac:dyDescent="0.25">
      <c r="C37" t="s">
        <v>136</v>
      </c>
      <c r="D37" s="36"/>
      <c r="E37" s="42"/>
      <c r="F37" s="43">
        <v>1200</v>
      </c>
      <c r="H37" s="36"/>
      <c r="I37" s="42"/>
      <c r="J37" s="43">
        <v>1200</v>
      </c>
      <c r="K37" s="39"/>
      <c r="L37" s="35"/>
      <c r="N37" s="37">
        <f t="shared" ref="N37:O40" si="3">E37+I37</f>
        <v>0</v>
      </c>
      <c r="O37" s="38">
        <f t="shared" si="3"/>
        <v>2400</v>
      </c>
      <c r="AE37" s="1"/>
    </row>
    <row r="38" spans="2:31" x14ac:dyDescent="0.25">
      <c r="C38" t="s">
        <v>137</v>
      </c>
      <c r="D38" s="36">
        <v>1</v>
      </c>
      <c r="E38" s="37"/>
      <c r="F38" s="38">
        <f>D38*3480</f>
        <v>3480</v>
      </c>
      <c r="H38" s="36">
        <v>1</v>
      </c>
      <c r="I38" s="37"/>
      <c r="J38" s="38">
        <f>H38*3480</f>
        <v>3480</v>
      </c>
      <c r="K38" s="39"/>
      <c r="L38" s="35"/>
      <c r="N38" s="42">
        <f t="shared" si="3"/>
        <v>0</v>
      </c>
      <c r="O38" s="43">
        <f t="shared" si="3"/>
        <v>6960</v>
      </c>
      <c r="AE38" s="1"/>
    </row>
    <row r="39" spans="2:31" ht="17.25" x14ac:dyDescent="0.25">
      <c r="C39" t="s">
        <v>138</v>
      </c>
      <c r="D39" s="36"/>
      <c r="E39" s="42"/>
      <c r="F39" s="43">
        <v>3750</v>
      </c>
      <c r="H39" s="36"/>
      <c r="I39" s="42"/>
      <c r="J39" s="43">
        <v>3750</v>
      </c>
      <c r="K39" s="39"/>
      <c r="L39" s="35"/>
      <c r="N39" s="37">
        <f t="shared" si="3"/>
        <v>0</v>
      </c>
      <c r="O39" s="38">
        <f t="shared" si="3"/>
        <v>7500</v>
      </c>
    </row>
    <row r="40" spans="2:31" ht="17.25" x14ac:dyDescent="0.25">
      <c r="C40" t="s">
        <v>139</v>
      </c>
      <c r="D40" s="36"/>
      <c r="E40" s="37"/>
      <c r="F40" s="38">
        <v>1000</v>
      </c>
      <c r="H40" s="36"/>
      <c r="I40" s="44"/>
      <c r="J40" s="38">
        <v>1000</v>
      </c>
      <c r="K40" s="39"/>
      <c r="L40" s="35"/>
      <c r="N40" s="42">
        <f t="shared" si="3"/>
        <v>0</v>
      </c>
      <c r="O40" s="43">
        <f t="shared" si="3"/>
        <v>2000</v>
      </c>
    </row>
    <row r="41" spans="2:31" x14ac:dyDescent="0.25">
      <c r="D41" s="36"/>
      <c r="E41" s="42"/>
      <c r="F41" s="43"/>
      <c r="H41" s="36"/>
      <c r="I41" s="42"/>
      <c r="J41" s="43"/>
      <c r="K41" s="39"/>
      <c r="L41" s="35"/>
      <c r="N41" s="37"/>
      <c r="O41" s="38"/>
    </row>
    <row r="42" spans="2:31" x14ac:dyDescent="0.25">
      <c r="B42" s="22"/>
      <c r="C42" s="22" t="s">
        <v>3</v>
      </c>
      <c r="D42" s="45"/>
      <c r="E42" s="46">
        <f>SUM(E37:E41)</f>
        <v>0</v>
      </c>
      <c r="F42" s="47">
        <f>SUM(F37:F41)</f>
        <v>9430</v>
      </c>
      <c r="G42" s="22"/>
      <c r="H42" s="45"/>
      <c r="I42" s="46">
        <f>SUM(I37:I41)</f>
        <v>0</v>
      </c>
      <c r="J42" s="47">
        <f>SUM(J37:J41)</f>
        <v>9430</v>
      </c>
      <c r="K42" s="48"/>
      <c r="L42" s="35"/>
      <c r="M42" s="22"/>
      <c r="N42" s="46">
        <f>E42+I42</f>
        <v>0</v>
      </c>
      <c r="O42" s="47">
        <f>F42+J42</f>
        <v>18860</v>
      </c>
      <c r="P42" s="22"/>
    </row>
    <row r="43" spans="2:31" x14ac:dyDescent="0.25">
      <c r="L43" s="35"/>
    </row>
    <row r="44" spans="2:31" x14ac:dyDescent="0.25">
      <c r="L44" s="35"/>
      <c r="AE44" s="1"/>
    </row>
    <row r="45" spans="2:31" x14ac:dyDescent="0.25">
      <c r="L45" s="35"/>
    </row>
    <row r="46" spans="2:31" x14ac:dyDescent="0.25">
      <c r="L46" s="35"/>
      <c r="AE46" s="1"/>
    </row>
    <row r="47" spans="2:31" ht="15.75" x14ac:dyDescent="0.25">
      <c r="L47" s="35"/>
      <c r="N47" s="2" t="s">
        <v>140</v>
      </c>
      <c r="O47" s="2"/>
      <c r="P47" s="50"/>
      <c r="AE47" s="1"/>
    </row>
    <row r="48" spans="2:31" ht="26.25" x14ac:dyDescent="0.4">
      <c r="L48" s="35"/>
      <c r="N48" s="51" t="s">
        <v>7</v>
      </c>
      <c r="O48" s="52">
        <f>N42+N34+N24+N13</f>
        <v>840000</v>
      </c>
      <c r="P48" s="50"/>
      <c r="S48" s="53"/>
      <c r="AE48" s="1"/>
    </row>
    <row r="49" spans="12:31" ht="15.75" x14ac:dyDescent="0.25">
      <c r="L49" s="35"/>
      <c r="N49" s="51" t="s">
        <v>35</v>
      </c>
      <c r="O49" s="52">
        <f>O42+O34+O24+O13</f>
        <v>617650</v>
      </c>
      <c r="P49" s="50"/>
      <c r="AC49" s="1"/>
    </row>
    <row r="50" spans="12:31" ht="15.75" x14ac:dyDescent="0.25">
      <c r="L50" s="35"/>
      <c r="N50" s="54" t="s">
        <v>141</v>
      </c>
      <c r="O50" s="55">
        <f>O48-O49</f>
        <v>222350</v>
      </c>
      <c r="P50" s="50"/>
      <c r="AC50" s="1"/>
    </row>
    <row r="51" spans="12:31" x14ac:dyDescent="0.25">
      <c r="L51" s="35"/>
    </row>
    <row r="52" spans="12:31" x14ac:dyDescent="0.25">
      <c r="L52" s="35"/>
    </row>
    <row r="54" spans="12:31" x14ac:dyDescent="0.25">
      <c r="AE54" s="1"/>
    </row>
    <row r="56" spans="12:31" x14ac:dyDescent="0.25">
      <c r="AE56" s="1"/>
    </row>
    <row r="58" spans="12:31" x14ac:dyDescent="0.25">
      <c r="AE58" s="1"/>
    </row>
    <row r="61" spans="12:31" x14ac:dyDescent="0.25">
      <c r="AE61" s="1"/>
    </row>
    <row r="70" spans="31:31" x14ac:dyDescent="0.25">
      <c r="AE70" s="1"/>
    </row>
    <row r="73" spans="31:31" x14ac:dyDescent="0.25">
      <c r="AE73" s="1"/>
    </row>
    <row r="74" spans="31:31" x14ac:dyDescent="0.25">
      <c r="AE74" s="1"/>
    </row>
    <row r="75" spans="31:31" x14ac:dyDescent="0.25">
      <c r="AE75" s="1"/>
    </row>
    <row r="76" spans="31:31" x14ac:dyDescent="0.25">
      <c r="AE76" s="1"/>
    </row>
    <row r="82" spans="31:31" x14ac:dyDescent="0.25">
      <c r="AE82" s="1"/>
    </row>
    <row r="86" spans="31:31" x14ac:dyDescent="0.25">
      <c r="AE86" s="1"/>
    </row>
    <row r="87" spans="31:31" x14ac:dyDescent="0.25">
      <c r="AE87" s="1"/>
    </row>
    <row r="88" spans="31:31" x14ac:dyDescent="0.25">
      <c r="AE88" s="1"/>
    </row>
    <row r="92" spans="31:31" x14ac:dyDescent="0.25">
      <c r="AE92" s="1"/>
    </row>
    <row r="93" spans="31:31" x14ac:dyDescent="0.25">
      <c r="AE93" s="1"/>
    </row>
    <row r="94" spans="31:31" x14ac:dyDescent="0.25">
      <c r="AE94" s="1"/>
    </row>
    <row r="96" spans="31:31" x14ac:dyDescent="0.25">
      <c r="AE96" s="1"/>
    </row>
    <row r="97" spans="31:31" x14ac:dyDescent="0.25">
      <c r="AE97" s="1"/>
    </row>
    <row r="98" spans="31:31" x14ac:dyDescent="0.25">
      <c r="AE98" s="1"/>
    </row>
    <row r="99" spans="31:31" x14ac:dyDescent="0.25">
      <c r="AE99" s="1"/>
    </row>
    <row r="100" spans="31:31" x14ac:dyDescent="0.25">
      <c r="AE100" s="1"/>
    </row>
    <row r="103" spans="31:31" x14ac:dyDescent="0.25">
      <c r="AE103" s="1"/>
    </row>
    <row r="104" spans="31:31" x14ac:dyDescent="0.25">
      <c r="AE104" s="1"/>
    </row>
    <row r="106" spans="31:31" x14ac:dyDescent="0.25">
      <c r="AE106" s="1"/>
    </row>
    <row r="107" spans="31:31" x14ac:dyDescent="0.25">
      <c r="AE107" s="1"/>
    </row>
    <row r="120" spans="31:31" x14ac:dyDescent="0.25">
      <c r="AE120" s="1"/>
    </row>
    <row r="126" spans="31:31" x14ac:dyDescent="0.25">
      <c r="AE126" s="1"/>
    </row>
    <row r="131" spans="31:31" x14ac:dyDescent="0.25">
      <c r="AE131" s="1"/>
    </row>
    <row r="132" spans="31:31" x14ac:dyDescent="0.25">
      <c r="AE132" s="1"/>
    </row>
    <row r="138" spans="31:31" x14ac:dyDescent="0.25">
      <c r="AE138" s="1"/>
    </row>
    <row r="140" spans="31:31" x14ac:dyDescent="0.25">
      <c r="AE140" s="1"/>
    </row>
    <row r="141" spans="31:31" x14ac:dyDescent="0.25">
      <c r="AE141" s="1"/>
    </row>
    <row r="142" spans="31:31" x14ac:dyDescent="0.25">
      <c r="AE142" s="1"/>
    </row>
    <row r="143" spans="31:31" x14ac:dyDescent="0.25">
      <c r="AE143" s="1"/>
    </row>
    <row r="144" spans="31:31" x14ac:dyDescent="0.25">
      <c r="AE144" s="1"/>
    </row>
    <row r="146" spans="31:31" x14ac:dyDescent="0.25">
      <c r="AE146" s="1"/>
    </row>
    <row r="147" spans="31:31" x14ac:dyDescent="0.25">
      <c r="AE147" s="1"/>
    </row>
    <row r="148" spans="31:31" x14ac:dyDescent="0.25">
      <c r="AE148" s="1"/>
    </row>
    <row r="149" spans="31:31" x14ac:dyDescent="0.25">
      <c r="AE149" s="1"/>
    </row>
    <row r="150" spans="31:31" x14ac:dyDescent="0.25">
      <c r="AE150" s="1"/>
    </row>
  </sheetData>
  <mergeCells count="10">
    <mergeCell ref="B4:C4"/>
    <mergeCell ref="B15:C15"/>
    <mergeCell ref="B26:C26"/>
    <mergeCell ref="B36:C36"/>
    <mergeCell ref="N47:O47"/>
    <mergeCell ref="A1:P1"/>
    <mergeCell ref="B2:C2"/>
    <mergeCell ref="E2:F2"/>
    <mergeCell ref="I2:J2"/>
    <mergeCell ref="N2:O2"/>
  </mergeCells>
  <pageMargins left="0.7" right="0.7" top="0.75" bottom="0.75" header="0.51180555555555496" footer="0.51180555555555496"/>
  <pageSetup paperSize="9" firstPageNumber="0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0" sqref="H20"/>
    </sheetView>
  </sheetViews>
  <sheetFormatPr defaultColWidth="8.85546875" defaultRowHeight="15" x14ac:dyDescent="0.25"/>
  <cols>
    <col min="1" max="1" width="21.7109375" bestFit="1" customWidth="1"/>
    <col min="3" max="3" width="9.7109375" bestFit="1" customWidth="1"/>
    <col min="5" max="5" width="9.7109375" bestFit="1" customWidth="1"/>
    <col min="8" max="8" width="28" bestFit="1" customWidth="1"/>
    <col min="10" max="10" width="9.7109375" bestFit="1" customWidth="1"/>
  </cols>
  <sheetData>
    <row r="1" spans="1:10" x14ac:dyDescent="0.25">
      <c r="A1" s="2" t="s">
        <v>142</v>
      </c>
      <c r="B1" s="2"/>
      <c r="C1" s="2" t="s">
        <v>1</v>
      </c>
      <c r="D1" s="2" t="s">
        <v>2</v>
      </c>
      <c r="E1" s="2" t="s">
        <v>3</v>
      </c>
      <c r="H1" s="2" t="s">
        <v>223</v>
      </c>
    </row>
    <row r="3" spans="1:10" x14ac:dyDescent="0.25">
      <c r="A3" s="8" t="s">
        <v>143</v>
      </c>
      <c r="C3" s="9"/>
      <c r="D3" s="10"/>
      <c r="E3" s="9"/>
      <c r="H3" s="91" t="s">
        <v>7</v>
      </c>
      <c r="J3" s="94"/>
    </row>
    <row r="4" spans="1:10" x14ac:dyDescent="0.25">
      <c r="A4" t="s">
        <v>144</v>
      </c>
      <c r="C4" s="9">
        <v>15000</v>
      </c>
      <c r="D4" s="10">
        <v>15000</v>
      </c>
      <c r="E4" s="9">
        <f>C4+D4</f>
        <v>30000</v>
      </c>
      <c r="H4" s="87" t="s">
        <v>230</v>
      </c>
      <c r="J4" s="88">
        <v>1500</v>
      </c>
    </row>
    <row r="5" spans="1:10" ht="15.75" thickBot="1" x14ac:dyDescent="0.3">
      <c r="A5" s="83" t="s">
        <v>32</v>
      </c>
      <c r="B5" s="83"/>
      <c r="C5" s="98">
        <f>SUM(C4)</f>
        <v>15000</v>
      </c>
      <c r="D5" s="99">
        <f>SUM(D4)</f>
        <v>15000</v>
      </c>
      <c r="E5" s="98">
        <f>C5+D5</f>
        <v>30000</v>
      </c>
      <c r="H5" s="87" t="s">
        <v>163</v>
      </c>
      <c r="J5" s="88">
        <v>0.56000000000000005</v>
      </c>
    </row>
    <row r="6" spans="1:10" ht="15.75" thickTop="1" x14ac:dyDescent="0.25">
      <c r="C6" s="9"/>
      <c r="D6" s="10"/>
      <c r="E6" s="9"/>
      <c r="H6" s="87" t="s">
        <v>29</v>
      </c>
      <c r="J6" s="88">
        <v>359</v>
      </c>
    </row>
    <row r="7" spans="1:10" ht="15.75" thickBot="1" x14ac:dyDescent="0.3">
      <c r="A7" s="11" t="s">
        <v>35</v>
      </c>
      <c r="C7" s="9"/>
      <c r="D7" s="9"/>
      <c r="E7" s="9"/>
      <c r="H7" s="96" t="s">
        <v>32</v>
      </c>
      <c r="I7" s="83"/>
      <c r="J7" s="95">
        <f>SUM(J4:J6)</f>
        <v>1859.56</v>
      </c>
    </row>
    <row r="8" spans="1:10" ht="15.75" thickTop="1" x14ac:dyDescent="0.25">
      <c r="A8" s="14" t="s">
        <v>145</v>
      </c>
      <c r="C8" s="9">
        <v>15000</v>
      </c>
      <c r="D8" s="9">
        <v>15000</v>
      </c>
      <c r="E8" s="9">
        <f t="shared" ref="E8:E14" si="0">C8+D8</f>
        <v>30000</v>
      </c>
      <c r="J8" s="94"/>
    </row>
    <row r="9" spans="1:10" x14ac:dyDescent="0.25">
      <c r="A9" s="14" t="s">
        <v>146</v>
      </c>
      <c r="C9" s="9">
        <v>1500</v>
      </c>
      <c r="D9" s="9">
        <v>1500</v>
      </c>
      <c r="E9" s="9">
        <f t="shared" si="0"/>
        <v>3000</v>
      </c>
      <c r="H9" s="91" t="s">
        <v>35</v>
      </c>
      <c r="J9" s="94"/>
    </row>
    <row r="10" spans="1:10" x14ac:dyDescent="0.25">
      <c r="A10" s="14" t="s">
        <v>147</v>
      </c>
      <c r="C10" s="9">
        <v>30000</v>
      </c>
      <c r="D10" s="9">
        <v>0</v>
      </c>
      <c r="E10" s="9">
        <f t="shared" si="0"/>
        <v>30000</v>
      </c>
      <c r="H10" t="s">
        <v>226</v>
      </c>
      <c r="J10" s="94">
        <v>17753.97</v>
      </c>
    </row>
    <row r="11" spans="1:10" ht="15.75" thickBot="1" x14ac:dyDescent="0.3">
      <c r="A11" s="14" t="s">
        <v>148</v>
      </c>
      <c r="C11" s="9">
        <v>1000</v>
      </c>
      <c r="D11" s="9">
        <v>0</v>
      </c>
      <c r="E11" s="9">
        <f t="shared" si="0"/>
        <v>1000</v>
      </c>
      <c r="H11" s="92" t="s">
        <v>32</v>
      </c>
      <c r="I11" s="92"/>
      <c r="J11" s="100">
        <f>J10</f>
        <v>17753.97</v>
      </c>
    </row>
    <row r="12" spans="1:10" ht="15.75" thickTop="1" x14ac:dyDescent="0.25">
      <c r="A12" s="14" t="s">
        <v>47</v>
      </c>
      <c r="C12" s="9">
        <v>1300</v>
      </c>
      <c r="D12" s="9">
        <v>1300</v>
      </c>
      <c r="E12" s="9">
        <f t="shared" si="0"/>
        <v>2600</v>
      </c>
      <c r="J12" s="94"/>
    </row>
    <row r="13" spans="1:10" ht="15.75" thickBot="1" x14ac:dyDescent="0.3">
      <c r="A13" s="14" t="s">
        <v>63</v>
      </c>
      <c r="C13" s="9">
        <v>2500</v>
      </c>
      <c r="D13" s="9">
        <v>2500</v>
      </c>
      <c r="E13" s="9">
        <f t="shared" si="0"/>
        <v>5000</v>
      </c>
      <c r="H13" s="92" t="s">
        <v>66</v>
      </c>
      <c r="I13" s="92"/>
      <c r="J13" s="95">
        <f>J7-J11</f>
        <v>-15894.410000000002</v>
      </c>
    </row>
    <row r="14" spans="1:10" ht="16.5" thickTop="1" thickBot="1" x14ac:dyDescent="0.3">
      <c r="A14" s="81" t="s">
        <v>32</v>
      </c>
      <c r="B14" s="90"/>
      <c r="C14" s="98">
        <f>SUM(C8:C13)</f>
        <v>51300</v>
      </c>
      <c r="D14" s="98">
        <f>SUM(D8:D13)</f>
        <v>20300</v>
      </c>
      <c r="E14" s="98">
        <f t="shared" si="0"/>
        <v>71600</v>
      </c>
    </row>
    <row r="15" spans="1:10" ht="15.75" thickTop="1" x14ac:dyDescent="0.25">
      <c r="C15" s="56"/>
      <c r="D15" s="56"/>
      <c r="E15" s="56"/>
    </row>
    <row r="16" spans="1:10" ht="15.75" thickBot="1" x14ac:dyDescent="0.3">
      <c r="A16" s="83" t="s">
        <v>66</v>
      </c>
      <c r="B16" s="97"/>
      <c r="C16" s="98">
        <f>C5-C14</f>
        <v>-36300</v>
      </c>
      <c r="D16" s="98">
        <f>D5-D14</f>
        <v>-5300</v>
      </c>
      <c r="E16" s="98">
        <f>E5-E14</f>
        <v>-41600</v>
      </c>
    </row>
    <row r="17" ht="15.75" thickTop="1" x14ac:dyDescent="0.25"/>
  </sheetData>
  <pageMargins left="0.7" right="0.7" top="0.75" bottom="0.75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9" workbookViewId="0">
      <selection activeCell="G23" sqref="G23"/>
    </sheetView>
  </sheetViews>
  <sheetFormatPr defaultColWidth="8.85546875" defaultRowHeight="15" x14ac:dyDescent="0.25"/>
  <cols>
    <col min="1" max="1" width="30.42578125" bestFit="1" customWidth="1"/>
    <col min="3" max="3" width="13.85546875" style="1" bestFit="1" customWidth="1"/>
    <col min="4" max="4" width="14.42578125" style="1" bestFit="1" customWidth="1"/>
    <col min="5" max="5" width="10" style="1" bestFit="1" customWidth="1"/>
    <col min="12" max="12" width="30.42578125" bestFit="1" customWidth="1"/>
    <col min="13" max="13" width="13.85546875" bestFit="1" customWidth="1"/>
    <col min="14" max="14" width="14.42578125" bestFit="1" customWidth="1"/>
  </cols>
  <sheetData>
    <row r="1" spans="1:34" x14ac:dyDescent="0.25">
      <c r="A1" s="2" t="s">
        <v>149</v>
      </c>
      <c r="B1" s="2"/>
      <c r="C1" s="3" t="s">
        <v>1</v>
      </c>
      <c r="D1" s="3" t="s">
        <v>2</v>
      </c>
      <c r="E1" s="3" t="s">
        <v>3</v>
      </c>
    </row>
    <row r="3" spans="1:34" x14ac:dyDescent="0.25">
      <c r="A3" s="8" t="s">
        <v>143</v>
      </c>
      <c r="C3" s="57"/>
      <c r="D3" s="10"/>
      <c r="E3" s="57"/>
    </row>
    <row r="4" spans="1:34" x14ac:dyDescent="0.25">
      <c r="A4" t="s">
        <v>150</v>
      </c>
      <c r="C4" s="57">
        <v>60000</v>
      </c>
      <c r="D4" s="10">
        <v>60000</v>
      </c>
      <c r="E4" s="57">
        <f>SUM(C4:D4)</f>
        <v>120000</v>
      </c>
      <c r="G4" t="s">
        <v>151</v>
      </c>
    </row>
    <row r="5" spans="1:34" x14ac:dyDescent="0.25">
      <c r="A5" t="s">
        <v>152</v>
      </c>
      <c r="C5" s="57">
        <v>35000</v>
      </c>
      <c r="D5" s="10">
        <v>35000</v>
      </c>
      <c r="E5" s="57">
        <f>SUM(C5:D5)</f>
        <v>70000</v>
      </c>
      <c r="G5" t="s">
        <v>153</v>
      </c>
    </row>
    <row r="6" spans="1:34" x14ac:dyDescent="0.25">
      <c r="A6" s="15" t="s">
        <v>32</v>
      </c>
      <c r="B6" s="15"/>
      <c r="C6" s="16">
        <f>SUM(C4:C5)</f>
        <v>95000</v>
      </c>
      <c r="D6" s="17">
        <f>SUM(D4:D5)</f>
        <v>95000</v>
      </c>
      <c r="E6" s="16">
        <f>SUM(C6:D6)</f>
        <v>190000</v>
      </c>
    </row>
    <row r="7" spans="1:34" x14ac:dyDescent="0.25">
      <c r="C7" s="57"/>
      <c r="D7" s="10"/>
      <c r="E7" s="57"/>
    </row>
    <row r="8" spans="1:34" x14ac:dyDescent="0.25">
      <c r="A8" s="8" t="s">
        <v>35</v>
      </c>
      <c r="C8" s="57"/>
      <c r="D8" s="10"/>
      <c r="E8" s="57"/>
    </row>
    <row r="9" spans="1:34" x14ac:dyDescent="0.25">
      <c r="A9" t="s">
        <v>148</v>
      </c>
      <c r="C9" s="57">
        <v>0</v>
      </c>
      <c r="D9" s="10">
        <v>5000</v>
      </c>
      <c r="E9" s="57">
        <f t="shared" ref="E9:E15" si="0">SUM(C9:D9)</f>
        <v>5000</v>
      </c>
    </row>
    <row r="10" spans="1:34" x14ac:dyDescent="0.25">
      <c r="A10" s="13" t="s">
        <v>155</v>
      </c>
      <c r="C10" s="57">
        <v>35000</v>
      </c>
      <c r="D10" s="10">
        <v>35000</v>
      </c>
      <c r="E10" s="57">
        <f t="shared" si="0"/>
        <v>70000</v>
      </c>
    </row>
    <row r="11" spans="1:34" x14ac:dyDescent="0.25">
      <c r="A11" s="13" t="s">
        <v>156</v>
      </c>
      <c r="C11" s="57">
        <v>600</v>
      </c>
      <c r="D11" s="10">
        <v>600</v>
      </c>
      <c r="E11" s="57">
        <f t="shared" si="0"/>
        <v>1200</v>
      </c>
    </row>
    <row r="12" spans="1:34" x14ac:dyDescent="0.25">
      <c r="A12" s="13" t="s">
        <v>157</v>
      </c>
      <c r="C12" s="57">
        <v>2500</v>
      </c>
      <c r="D12" s="10">
        <v>2500</v>
      </c>
      <c r="E12" s="57">
        <f t="shared" si="0"/>
        <v>5000</v>
      </c>
    </row>
    <row r="13" spans="1:34" x14ac:dyDescent="0.25">
      <c r="A13" s="13" t="s">
        <v>104</v>
      </c>
      <c r="C13" s="57">
        <v>0</v>
      </c>
      <c r="D13" s="10">
        <v>0</v>
      </c>
      <c r="E13" s="57">
        <f t="shared" si="0"/>
        <v>0</v>
      </c>
    </row>
    <row r="14" spans="1:34" x14ac:dyDescent="0.25">
      <c r="A14" s="13" t="s">
        <v>47</v>
      </c>
      <c r="C14" s="57">
        <v>1000</v>
      </c>
      <c r="D14" s="10">
        <v>1000</v>
      </c>
      <c r="E14" s="57">
        <f t="shared" si="0"/>
        <v>2000</v>
      </c>
      <c r="F14" s="58"/>
      <c r="G14" s="58"/>
      <c r="H14" s="58"/>
      <c r="I14" s="58"/>
      <c r="J14" s="58"/>
      <c r="K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s="22" customFormat="1" x14ac:dyDescent="0.25">
      <c r="A15" s="59" t="s">
        <v>63</v>
      </c>
      <c r="B15" s="58"/>
      <c r="C15" s="57">
        <v>2000</v>
      </c>
      <c r="D15" s="10">
        <v>2000</v>
      </c>
      <c r="E15" s="57">
        <f t="shared" si="0"/>
        <v>4000</v>
      </c>
      <c r="F15" s="58"/>
      <c r="G15" s="58"/>
      <c r="H15" s="58"/>
      <c r="I15" s="58"/>
      <c r="J15" s="58"/>
      <c r="K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25">
      <c r="A16" s="60" t="s">
        <v>32</v>
      </c>
      <c r="B16" s="60"/>
      <c r="C16" s="61">
        <f>SUM(C9:C15)</f>
        <v>41100</v>
      </c>
      <c r="D16" s="62">
        <f>SUM(D9:D15)</f>
        <v>46100</v>
      </c>
      <c r="E16" s="61">
        <f>SUM(E9:E15)</f>
        <v>87200</v>
      </c>
    </row>
    <row r="17" spans="1:5" x14ac:dyDescent="0.25">
      <c r="C17" s="57"/>
      <c r="D17" s="10"/>
      <c r="E17" s="57"/>
    </row>
    <row r="18" spans="1:5" x14ac:dyDescent="0.25">
      <c r="A18" s="15" t="s">
        <v>66</v>
      </c>
      <c r="B18" s="15"/>
      <c r="C18" s="16">
        <f>C6-C16</f>
        <v>53900</v>
      </c>
      <c r="D18" s="17">
        <f>D6-D16</f>
        <v>48900</v>
      </c>
      <c r="E18" s="16">
        <f>E6-E16</f>
        <v>102800</v>
      </c>
    </row>
    <row r="21" spans="1:5" x14ac:dyDescent="0.25">
      <c r="C21" s="1" t="s">
        <v>239</v>
      </c>
      <c r="D21" s="1" t="s">
        <v>240</v>
      </c>
    </row>
    <row r="23" spans="1:5" x14ac:dyDescent="0.25">
      <c r="A23" s="91" t="s">
        <v>7</v>
      </c>
      <c r="C23" s="108"/>
      <c r="D23" s="88"/>
    </row>
    <row r="24" spans="1:5" x14ac:dyDescent="0.25">
      <c r="A24" t="s">
        <v>39</v>
      </c>
      <c r="C24" s="108">
        <v>17800</v>
      </c>
      <c r="D24" s="88">
        <v>11165</v>
      </c>
    </row>
    <row r="25" spans="1:5" x14ac:dyDescent="0.25">
      <c r="A25" t="s">
        <v>154</v>
      </c>
      <c r="C25" s="108">
        <v>42200</v>
      </c>
      <c r="D25" s="88">
        <v>22500</v>
      </c>
    </row>
    <row r="26" spans="1:5" ht="15.75" thickBot="1" x14ac:dyDescent="0.3">
      <c r="A26" s="92" t="s">
        <v>32</v>
      </c>
      <c r="C26" s="109">
        <v>60000</v>
      </c>
      <c r="D26" s="95">
        <v>33665</v>
      </c>
    </row>
    <row r="27" spans="1:5" ht="15.75" thickTop="1" x14ac:dyDescent="0.25">
      <c r="C27" s="108"/>
      <c r="D27" s="88"/>
    </row>
    <row r="28" spans="1:5" x14ac:dyDescent="0.25">
      <c r="C28" s="108"/>
      <c r="D28" s="88"/>
    </row>
    <row r="29" spans="1:5" x14ac:dyDescent="0.25">
      <c r="A29" s="91" t="s">
        <v>35</v>
      </c>
      <c r="C29" s="108"/>
      <c r="D29" s="88"/>
    </row>
    <row r="30" spans="1:5" x14ac:dyDescent="0.25">
      <c r="A30" t="s">
        <v>72</v>
      </c>
      <c r="C30" s="108">
        <v>4000</v>
      </c>
      <c r="D30" s="88">
        <v>0</v>
      </c>
    </row>
    <row r="31" spans="1:5" x14ac:dyDescent="0.25">
      <c r="A31" t="s">
        <v>95</v>
      </c>
      <c r="C31" s="108">
        <v>17800</v>
      </c>
      <c r="D31" s="88">
        <v>11165</v>
      </c>
    </row>
    <row r="32" spans="1:5" x14ac:dyDescent="0.25">
      <c r="A32" t="s">
        <v>158</v>
      </c>
      <c r="C32" s="108">
        <v>1000</v>
      </c>
      <c r="D32" s="88">
        <v>0</v>
      </c>
    </row>
    <row r="33" spans="1:4" x14ac:dyDescent="0.25">
      <c r="A33" s="58" t="s">
        <v>69</v>
      </c>
      <c r="C33" s="108">
        <v>5200</v>
      </c>
      <c r="D33" s="88">
        <v>244</v>
      </c>
    </row>
    <row r="34" spans="1:4" x14ac:dyDescent="0.25">
      <c r="A34" s="58" t="s">
        <v>73</v>
      </c>
      <c r="C34" s="108">
        <v>1000</v>
      </c>
      <c r="D34" s="88">
        <v>637</v>
      </c>
    </row>
    <row r="35" spans="1:4" ht="15.75" thickBot="1" x14ac:dyDescent="0.3">
      <c r="A35" s="92" t="s">
        <v>32</v>
      </c>
      <c r="C35" s="109">
        <v>29000</v>
      </c>
      <c r="D35" s="95">
        <v>12046</v>
      </c>
    </row>
    <row r="36" spans="1:4" ht="15.75" thickTop="1" x14ac:dyDescent="0.25">
      <c r="C36" s="108"/>
      <c r="D36" s="88"/>
    </row>
    <row r="37" spans="1:4" ht="15.75" thickBot="1" x14ac:dyDescent="0.3">
      <c r="A37" s="92" t="s">
        <v>102</v>
      </c>
      <c r="C37" s="109">
        <v>31000</v>
      </c>
      <c r="D37" s="95">
        <v>21619</v>
      </c>
    </row>
    <row r="38" spans="1:4" ht="15.75" thickTop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K8" sqref="K8"/>
    </sheetView>
  </sheetViews>
  <sheetFormatPr defaultColWidth="8.85546875" defaultRowHeight="15" x14ac:dyDescent="0.25"/>
  <cols>
    <col min="1" max="1" width="26.140625" bestFit="1" customWidth="1"/>
    <col min="3" max="3" width="9.7109375" bestFit="1" customWidth="1"/>
    <col min="4" max="5" width="10.7109375" bestFit="1" customWidth="1"/>
    <col min="7" max="7" width="34.140625" bestFit="1" customWidth="1"/>
    <col min="8" max="8" width="14.85546875" bestFit="1" customWidth="1"/>
  </cols>
  <sheetData>
    <row r="1" spans="1:8" x14ac:dyDescent="0.25">
      <c r="A1" s="2" t="s">
        <v>159</v>
      </c>
      <c r="B1" s="2"/>
      <c r="C1" s="2" t="s">
        <v>1</v>
      </c>
      <c r="D1" s="2" t="s">
        <v>2</v>
      </c>
      <c r="E1" s="2" t="s">
        <v>3</v>
      </c>
      <c r="H1" s="2" t="s">
        <v>223</v>
      </c>
    </row>
    <row r="2" spans="1:8" x14ac:dyDescent="0.25">
      <c r="G2" s="13"/>
    </row>
    <row r="3" spans="1:8" x14ac:dyDescent="0.25">
      <c r="A3" s="11" t="s">
        <v>7</v>
      </c>
      <c r="C3" s="64"/>
      <c r="D3" s="64"/>
      <c r="E3" s="64"/>
      <c r="G3" s="11" t="s">
        <v>7</v>
      </c>
      <c r="H3" s="64"/>
    </row>
    <row r="4" spans="1:8" x14ac:dyDescent="0.25">
      <c r="A4" s="14" t="s">
        <v>160</v>
      </c>
      <c r="C4" s="9">
        <v>11000</v>
      </c>
      <c r="D4" s="9">
        <v>4000</v>
      </c>
      <c r="E4" s="9">
        <f>C4+D4</f>
        <v>15000</v>
      </c>
      <c r="G4" s="13" t="s">
        <v>33</v>
      </c>
      <c r="H4" s="9">
        <v>2119.3200000000002</v>
      </c>
    </row>
    <row r="5" spans="1:8" x14ac:dyDescent="0.25">
      <c r="A5" t="s">
        <v>161</v>
      </c>
      <c r="C5" s="9">
        <v>0</v>
      </c>
      <c r="D5" s="9">
        <v>0</v>
      </c>
      <c r="E5" s="9">
        <f>C5+D5</f>
        <v>0</v>
      </c>
      <c r="G5" s="14" t="s">
        <v>34</v>
      </c>
      <c r="H5" s="9">
        <f>1900+3105+30</f>
        <v>5035</v>
      </c>
    </row>
    <row r="6" spans="1:8" x14ac:dyDescent="0.25">
      <c r="A6" t="s">
        <v>162</v>
      </c>
      <c r="C6" s="9">
        <v>0</v>
      </c>
      <c r="D6" s="9">
        <v>0</v>
      </c>
      <c r="E6" s="9">
        <f>C6+D6</f>
        <v>0</v>
      </c>
      <c r="G6" s="14" t="s">
        <v>49</v>
      </c>
      <c r="H6" s="9">
        <f>35000+2800</f>
        <v>37800</v>
      </c>
    </row>
    <row r="7" spans="1:8" s="13" customFormat="1" x14ac:dyDescent="0.25">
      <c r="A7" s="13" t="s">
        <v>163</v>
      </c>
      <c r="C7" s="9">
        <v>0</v>
      </c>
      <c r="D7" s="9">
        <v>0</v>
      </c>
      <c r="E7" s="9">
        <v>0</v>
      </c>
      <c r="G7" s="14" t="s">
        <v>50</v>
      </c>
      <c r="H7" s="9">
        <v>45.04</v>
      </c>
    </row>
    <row r="8" spans="1:8" s="13" customFormat="1" x14ac:dyDescent="0.25">
      <c r="A8" s="14" t="s">
        <v>29</v>
      </c>
      <c r="C8" s="9">
        <v>0</v>
      </c>
      <c r="D8" s="9">
        <v>0</v>
      </c>
      <c r="E8" s="9">
        <f>C8+D8</f>
        <v>0</v>
      </c>
      <c r="G8" s="14" t="s">
        <v>52</v>
      </c>
      <c r="H8" s="9">
        <v>0</v>
      </c>
    </row>
    <row r="9" spans="1:8" x14ac:dyDescent="0.25">
      <c r="A9" s="65" t="s">
        <v>32</v>
      </c>
      <c r="C9" s="28">
        <f>SUM(C4:C8)</f>
        <v>11000</v>
      </c>
      <c r="D9" s="28">
        <f>SUM(D4:D8)</f>
        <v>4000</v>
      </c>
      <c r="E9" s="103">
        <f>C9+D9</f>
        <v>15000</v>
      </c>
      <c r="G9" s="14" t="s">
        <v>233</v>
      </c>
      <c r="H9" s="104">
        <v>0</v>
      </c>
    </row>
    <row r="10" spans="1:8" x14ac:dyDescent="0.25">
      <c r="C10" s="9"/>
      <c r="D10" s="9"/>
      <c r="E10" s="9"/>
      <c r="G10" s="14" t="s">
        <v>234</v>
      </c>
      <c r="H10" s="104">
        <v>0</v>
      </c>
    </row>
    <row r="11" spans="1:8" ht="15.75" thickBot="1" x14ac:dyDescent="0.3">
      <c r="A11" s="11" t="s">
        <v>35</v>
      </c>
      <c r="C11" s="9"/>
      <c r="D11" s="9"/>
      <c r="E11" s="9"/>
      <c r="G11" s="81" t="s">
        <v>32</v>
      </c>
      <c r="H11" s="98">
        <f>SUM(H4:H10)</f>
        <v>44999.360000000001</v>
      </c>
    </row>
    <row r="12" spans="1:8" ht="15.75" thickTop="1" x14ac:dyDescent="0.25">
      <c r="A12" t="s">
        <v>164</v>
      </c>
      <c r="C12" s="9">
        <v>2500</v>
      </c>
      <c r="D12" s="9">
        <v>500</v>
      </c>
      <c r="E12" s="9">
        <f t="shared" ref="E12:E29" si="0">C12+D12</f>
        <v>3000</v>
      </c>
      <c r="G12" s="13"/>
      <c r="H12" s="9"/>
    </row>
    <row r="13" spans="1:8" x14ac:dyDescent="0.25">
      <c r="A13" t="s">
        <v>165</v>
      </c>
      <c r="C13" s="9">
        <v>0</v>
      </c>
      <c r="D13" s="9">
        <v>0</v>
      </c>
      <c r="E13" s="9">
        <f t="shared" si="0"/>
        <v>0</v>
      </c>
      <c r="G13" s="11" t="s">
        <v>35</v>
      </c>
      <c r="H13" s="9"/>
    </row>
    <row r="14" spans="1:8" x14ac:dyDescent="0.25">
      <c r="A14" t="s">
        <v>166</v>
      </c>
      <c r="C14" s="9">
        <v>0</v>
      </c>
      <c r="D14" s="9">
        <v>0</v>
      </c>
      <c r="E14" s="9">
        <f t="shared" si="0"/>
        <v>0</v>
      </c>
      <c r="G14" s="13" t="s">
        <v>67</v>
      </c>
      <c r="H14" s="9">
        <f>42+959</f>
        <v>1001</v>
      </c>
    </row>
    <row r="15" spans="1:8" x14ac:dyDescent="0.25">
      <c r="A15" s="14" t="s">
        <v>167</v>
      </c>
      <c r="C15" s="9">
        <v>0</v>
      </c>
      <c r="D15" s="9">
        <v>0</v>
      </c>
      <c r="E15" s="9">
        <f t="shared" si="0"/>
        <v>0</v>
      </c>
      <c r="G15" s="13" t="s">
        <v>71</v>
      </c>
      <c r="H15" s="9">
        <f>1712.3+522</f>
        <v>2234.3000000000002</v>
      </c>
    </row>
    <row r="16" spans="1:8" x14ac:dyDescent="0.25">
      <c r="A16" t="s">
        <v>148</v>
      </c>
      <c r="C16" s="9">
        <v>5000</v>
      </c>
      <c r="D16" s="9">
        <v>0</v>
      </c>
      <c r="E16" s="9">
        <f t="shared" si="0"/>
        <v>5000</v>
      </c>
      <c r="G16" s="13" t="s">
        <v>73</v>
      </c>
      <c r="H16" s="9">
        <v>220</v>
      </c>
    </row>
    <row r="17" spans="1:8" x14ac:dyDescent="0.25">
      <c r="A17" s="14" t="s">
        <v>168</v>
      </c>
      <c r="C17" s="9">
        <v>0</v>
      </c>
      <c r="D17" s="9">
        <v>0</v>
      </c>
      <c r="E17" s="9">
        <f t="shared" si="0"/>
        <v>0</v>
      </c>
      <c r="G17" s="13" t="s">
        <v>76</v>
      </c>
      <c r="H17" s="9">
        <v>7000</v>
      </c>
    </row>
    <row r="18" spans="1:8" x14ac:dyDescent="0.25">
      <c r="A18" t="s">
        <v>169</v>
      </c>
      <c r="C18" s="9">
        <v>5000</v>
      </c>
      <c r="D18" s="9">
        <v>5000</v>
      </c>
      <c r="E18" s="9">
        <f t="shared" si="0"/>
        <v>10000</v>
      </c>
      <c r="G18" s="13" t="s">
        <v>77</v>
      </c>
      <c r="H18" s="9">
        <v>0</v>
      </c>
    </row>
    <row r="19" spans="1:8" x14ac:dyDescent="0.25">
      <c r="A19" t="s">
        <v>170</v>
      </c>
      <c r="C19" s="9">
        <v>1000</v>
      </c>
      <c r="D19" s="9">
        <v>0</v>
      </c>
      <c r="E19" s="9">
        <f t="shared" si="0"/>
        <v>1000</v>
      </c>
      <c r="G19" s="13" t="s">
        <v>78</v>
      </c>
      <c r="H19" s="9">
        <v>2000</v>
      </c>
    </row>
    <row r="20" spans="1:8" x14ac:dyDescent="0.25">
      <c r="A20" t="s">
        <v>171</v>
      </c>
      <c r="C20" s="9">
        <v>0</v>
      </c>
      <c r="D20" s="9">
        <v>10000</v>
      </c>
      <c r="E20" s="9">
        <f t="shared" si="0"/>
        <v>10000</v>
      </c>
      <c r="G20" s="13" t="s">
        <v>79</v>
      </c>
      <c r="H20" s="9">
        <v>13790</v>
      </c>
    </row>
    <row r="21" spans="1:8" x14ac:dyDescent="0.25">
      <c r="A21" t="s">
        <v>172</v>
      </c>
      <c r="C21" s="9">
        <v>20000</v>
      </c>
      <c r="D21" s="9">
        <v>4000</v>
      </c>
      <c r="E21" s="9">
        <f t="shared" si="0"/>
        <v>24000</v>
      </c>
      <c r="G21" s="13" t="s">
        <v>80</v>
      </c>
      <c r="H21" s="9">
        <v>5716.81</v>
      </c>
    </row>
    <row r="22" spans="1:8" x14ac:dyDescent="0.25">
      <c r="A22" t="s">
        <v>173</v>
      </c>
      <c r="C22" s="9">
        <v>2000</v>
      </c>
      <c r="D22" s="9">
        <v>0</v>
      </c>
      <c r="E22" s="9">
        <f t="shared" si="0"/>
        <v>2000</v>
      </c>
      <c r="G22" s="13" t="s">
        <v>85</v>
      </c>
      <c r="H22" s="9">
        <v>3728.9</v>
      </c>
    </row>
    <row r="23" spans="1:8" x14ac:dyDescent="0.25">
      <c r="A23" t="s">
        <v>174</v>
      </c>
      <c r="C23" s="9">
        <v>930</v>
      </c>
      <c r="D23" s="9">
        <v>930</v>
      </c>
      <c r="E23" s="9">
        <f t="shared" si="0"/>
        <v>1860</v>
      </c>
      <c r="G23" s="13" t="s">
        <v>93</v>
      </c>
      <c r="H23" s="9">
        <v>9500</v>
      </c>
    </row>
    <row r="24" spans="1:8" x14ac:dyDescent="0.25">
      <c r="A24" t="s">
        <v>175</v>
      </c>
      <c r="C24" s="9">
        <v>1200</v>
      </c>
      <c r="D24" s="9">
        <v>1200</v>
      </c>
      <c r="E24" s="9">
        <f t="shared" si="0"/>
        <v>2400</v>
      </c>
      <c r="G24" s="13" t="s">
        <v>94</v>
      </c>
      <c r="H24" s="9">
        <f>930+465</f>
        <v>1395</v>
      </c>
    </row>
    <row r="25" spans="1:8" x14ac:dyDescent="0.25">
      <c r="A25" t="s">
        <v>176</v>
      </c>
      <c r="C25" s="9">
        <v>5000</v>
      </c>
      <c r="D25" s="9">
        <v>0</v>
      </c>
      <c r="E25" s="9">
        <f t="shared" si="0"/>
        <v>5000</v>
      </c>
      <c r="G25" s="13" t="s">
        <v>95</v>
      </c>
      <c r="H25" s="9">
        <v>164</v>
      </c>
    </row>
    <row r="26" spans="1:8" x14ac:dyDescent="0.25">
      <c r="A26" t="s">
        <v>177</v>
      </c>
      <c r="C26" s="9">
        <v>15000</v>
      </c>
      <c r="D26" s="9">
        <v>15000</v>
      </c>
      <c r="E26" s="9">
        <f t="shared" si="0"/>
        <v>30000</v>
      </c>
      <c r="G26" s="13" t="s">
        <v>96</v>
      </c>
      <c r="H26" s="9">
        <f>908</f>
        <v>908</v>
      </c>
    </row>
    <row r="27" spans="1:8" s="13" customFormat="1" x14ac:dyDescent="0.25">
      <c r="A27" s="13" t="s">
        <v>178</v>
      </c>
      <c r="C27" s="9">
        <v>33500</v>
      </c>
      <c r="D27" s="9">
        <v>62500</v>
      </c>
      <c r="E27" s="9">
        <f t="shared" si="0"/>
        <v>96000</v>
      </c>
      <c r="G27" s="13" t="s">
        <v>97</v>
      </c>
      <c r="H27" s="9">
        <f>787.5+444</f>
        <v>1231.5</v>
      </c>
    </row>
    <row r="28" spans="1:8" x14ac:dyDescent="0.25">
      <c r="A28" s="14" t="s">
        <v>63</v>
      </c>
      <c r="C28" s="9">
        <v>5000</v>
      </c>
      <c r="D28" s="9">
        <v>5000</v>
      </c>
      <c r="E28" s="9">
        <f t="shared" si="0"/>
        <v>10000</v>
      </c>
      <c r="G28" s="14" t="s">
        <v>98</v>
      </c>
      <c r="H28" s="9">
        <v>2600</v>
      </c>
    </row>
    <row r="29" spans="1:8" x14ac:dyDescent="0.25">
      <c r="A29" s="65" t="s">
        <v>32</v>
      </c>
      <c r="C29" s="28">
        <f>SUM(C12:C28)</f>
        <v>96130</v>
      </c>
      <c r="D29" s="28">
        <f>SUM(D12:D28)</f>
        <v>104130</v>
      </c>
      <c r="E29" s="66">
        <f t="shared" si="0"/>
        <v>200260</v>
      </c>
      <c r="G29" s="14" t="s">
        <v>99</v>
      </c>
      <c r="H29" s="9">
        <v>10284</v>
      </c>
    </row>
    <row r="30" spans="1:8" x14ac:dyDescent="0.25">
      <c r="A30" s="11"/>
      <c r="C30" s="9"/>
      <c r="D30" s="9"/>
      <c r="E30" s="9"/>
      <c r="G30" s="65" t="s">
        <v>32</v>
      </c>
      <c r="H30" s="28">
        <f>SUM(H14:H29)</f>
        <v>61773.51</v>
      </c>
    </row>
    <row r="31" spans="1:8" x14ac:dyDescent="0.25">
      <c r="A31" s="67" t="s">
        <v>102</v>
      </c>
      <c r="C31" s="28">
        <f>C9-C29</f>
        <v>-85130</v>
      </c>
      <c r="D31" s="28">
        <f>D9-D29</f>
        <v>-100130</v>
      </c>
      <c r="E31" s="28">
        <f>E9-E29</f>
        <v>-185260</v>
      </c>
      <c r="G31" s="11"/>
      <c r="H31" s="9"/>
    </row>
    <row r="32" spans="1:8" x14ac:dyDescent="0.25">
      <c r="G32" s="67" t="s">
        <v>102</v>
      </c>
      <c r="H32" s="28">
        <f>H11-H30</f>
        <v>-16774.150000000001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90" zoomScaleNormal="90" zoomScalePageLayoutView="125" workbookViewId="0">
      <selection activeCell="E10" sqref="E10"/>
    </sheetView>
  </sheetViews>
  <sheetFormatPr defaultColWidth="11.42578125" defaultRowHeight="15" x14ac:dyDescent="0.25"/>
  <cols>
    <col min="9" max="9" width="30" bestFit="1" customWidth="1"/>
    <col min="10" max="10" width="17.140625" customWidth="1"/>
    <col min="11" max="11" width="15.140625" customWidth="1"/>
    <col min="14" max="14" width="16.42578125" customWidth="1"/>
  </cols>
  <sheetData>
    <row r="1" spans="1:17" ht="15.75" thickBot="1" x14ac:dyDescent="0.3">
      <c r="A1" s="113" t="s">
        <v>179</v>
      </c>
      <c r="B1" s="113"/>
      <c r="C1" s="114" t="s">
        <v>1</v>
      </c>
      <c r="D1" s="114" t="s">
        <v>2</v>
      </c>
      <c r="E1" s="114" t="s">
        <v>3</v>
      </c>
      <c r="F1" s="114" t="s">
        <v>4</v>
      </c>
      <c r="G1" s="1"/>
      <c r="J1" s="5" t="s">
        <v>217</v>
      </c>
      <c r="K1" s="6" t="s">
        <v>217</v>
      </c>
    </row>
    <row r="2" spans="1:17" x14ac:dyDescent="0.25">
      <c r="C2" s="1"/>
      <c r="D2" s="1"/>
      <c r="E2" s="1"/>
      <c r="J2" s="7" t="s">
        <v>6</v>
      </c>
      <c r="K2" s="6" t="s">
        <v>241</v>
      </c>
    </row>
    <row r="3" spans="1:17" x14ac:dyDescent="0.25">
      <c r="A3" s="8" t="s">
        <v>7</v>
      </c>
      <c r="C3" s="57"/>
      <c r="D3" s="10"/>
      <c r="E3" s="57"/>
      <c r="I3" s="11" t="s">
        <v>7</v>
      </c>
      <c r="J3" s="12"/>
      <c r="K3" s="12"/>
    </row>
    <row r="4" spans="1:17" x14ac:dyDescent="0.25">
      <c r="A4" t="s">
        <v>180</v>
      </c>
      <c r="C4" s="57">
        <v>59375</v>
      </c>
      <c r="D4" s="10">
        <v>56250</v>
      </c>
      <c r="E4" s="57">
        <f>SUM(D4+C4)</f>
        <v>115625</v>
      </c>
      <c r="I4" t="s">
        <v>10</v>
      </c>
      <c r="J4" s="57">
        <v>0</v>
      </c>
      <c r="K4" s="88">
        <v>16355</v>
      </c>
    </row>
    <row r="5" spans="1:17" x14ac:dyDescent="0.25">
      <c r="A5" t="s">
        <v>181</v>
      </c>
      <c r="C5" s="57">
        <v>1500</v>
      </c>
      <c r="D5" s="10">
        <v>1500</v>
      </c>
      <c r="E5" s="57">
        <f t="shared" ref="E5:E10" si="0">SUM(C5:D5)</f>
        <v>3000</v>
      </c>
      <c r="I5" t="s">
        <v>44</v>
      </c>
      <c r="J5" s="57">
        <v>60000</v>
      </c>
      <c r="K5" s="88">
        <v>15540</v>
      </c>
    </row>
    <row r="6" spans="1:17" x14ac:dyDescent="0.25">
      <c r="A6" t="s">
        <v>182</v>
      </c>
      <c r="C6" s="57">
        <v>10000</v>
      </c>
      <c r="D6" s="10">
        <v>10000</v>
      </c>
      <c r="E6" s="57">
        <f t="shared" si="0"/>
        <v>20000</v>
      </c>
      <c r="I6" t="s">
        <v>46</v>
      </c>
      <c r="J6" s="57">
        <v>0</v>
      </c>
      <c r="K6" s="57">
        <v>8.66</v>
      </c>
    </row>
    <row r="7" spans="1:17" ht="21" x14ac:dyDescent="0.3">
      <c r="A7" t="s">
        <v>183</v>
      </c>
      <c r="C7" s="57">
        <v>5250</v>
      </c>
      <c r="D7" s="10">
        <v>1000</v>
      </c>
      <c r="E7" s="57">
        <f t="shared" si="0"/>
        <v>6250</v>
      </c>
      <c r="F7" s="116">
        <v>1</v>
      </c>
      <c r="I7" t="s">
        <v>259</v>
      </c>
      <c r="J7" s="57">
        <v>0</v>
      </c>
      <c r="K7" s="57">
        <v>46199.5</v>
      </c>
    </row>
    <row r="8" spans="1:17" x14ac:dyDescent="0.25">
      <c r="A8" s="13" t="s">
        <v>184</v>
      </c>
      <c r="B8" s="13"/>
      <c r="C8" s="57">
        <v>0</v>
      </c>
      <c r="D8" s="10">
        <v>30000</v>
      </c>
      <c r="E8" s="57">
        <f t="shared" si="0"/>
        <v>30000</v>
      </c>
      <c r="F8" s="13"/>
      <c r="G8" s="13"/>
      <c r="H8" s="13"/>
      <c r="I8" s="117" t="s">
        <v>52</v>
      </c>
      <c r="J8" s="57">
        <v>0</v>
      </c>
      <c r="K8" s="57">
        <v>2500</v>
      </c>
      <c r="L8" s="13"/>
      <c r="M8" s="13"/>
    </row>
    <row r="9" spans="1:17" x14ac:dyDescent="0.25">
      <c r="A9" t="s">
        <v>29</v>
      </c>
      <c r="C9" s="57">
        <v>0</v>
      </c>
      <c r="D9" s="10">
        <v>0</v>
      </c>
      <c r="E9" s="57">
        <f t="shared" si="0"/>
        <v>0</v>
      </c>
      <c r="I9" s="20" t="s">
        <v>32</v>
      </c>
      <c r="J9" s="16">
        <f>SUM(J4:J8)</f>
        <v>60000</v>
      </c>
      <c r="K9" s="16">
        <f>SUM(K4:K8)</f>
        <v>80603.16</v>
      </c>
    </row>
    <row r="10" spans="1:17" x14ac:dyDescent="0.25">
      <c r="A10" s="15" t="s">
        <v>32</v>
      </c>
      <c r="B10" s="15"/>
      <c r="C10" s="16">
        <f>SUM(C4:C9)</f>
        <v>76125</v>
      </c>
      <c r="D10" s="17">
        <f>SUM(D4:D9)</f>
        <v>98750</v>
      </c>
      <c r="E10" s="16">
        <f t="shared" si="0"/>
        <v>174875</v>
      </c>
      <c r="J10" s="57"/>
      <c r="K10" s="57"/>
      <c r="Q10" s="13"/>
    </row>
    <row r="11" spans="1:17" x14ac:dyDescent="0.25">
      <c r="C11" s="57"/>
      <c r="D11" s="10"/>
      <c r="E11" s="57"/>
      <c r="I11" s="11" t="s">
        <v>35</v>
      </c>
      <c r="J11" s="57"/>
      <c r="K11" s="57"/>
    </row>
    <row r="12" spans="1:17" x14ac:dyDescent="0.25">
      <c r="A12" s="8" t="s">
        <v>35</v>
      </c>
      <c r="C12" s="57"/>
      <c r="D12" s="10"/>
      <c r="E12" s="57"/>
      <c r="I12" s="87" t="s">
        <v>65</v>
      </c>
      <c r="J12" s="57">
        <v>8000</v>
      </c>
      <c r="K12" s="57">
        <v>0</v>
      </c>
    </row>
    <row r="13" spans="1:17" x14ac:dyDescent="0.25">
      <c r="A13" t="s">
        <v>185</v>
      </c>
      <c r="C13" s="57">
        <v>33000</v>
      </c>
      <c r="D13" s="10">
        <v>0</v>
      </c>
      <c r="E13" s="57">
        <f>SUM(C13:D13)</f>
        <v>33000</v>
      </c>
      <c r="I13" t="s">
        <v>67</v>
      </c>
      <c r="J13" s="57">
        <v>0</v>
      </c>
      <c r="K13" s="57">
        <v>2578.5</v>
      </c>
    </row>
    <row r="14" spans="1:17" x14ac:dyDescent="0.25">
      <c r="A14" s="13" t="s">
        <v>184</v>
      </c>
      <c r="B14" s="13"/>
      <c r="C14" s="57">
        <v>0</v>
      </c>
      <c r="D14" s="10">
        <v>30000</v>
      </c>
      <c r="E14" s="57">
        <f>(C14+D14)</f>
        <v>30000</v>
      </c>
      <c r="F14" s="13"/>
      <c r="G14" s="13"/>
      <c r="H14" s="13"/>
      <c r="I14" t="s">
        <v>68</v>
      </c>
      <c r="J14" s="57">
        <v>38400</v>
      </c>
      <c r="K14" s="57">
        <v>37405.25</v>
      </c>
      <c r="L14" s="13"/>
      <c r="M14" s="13"/>
    </row>
    <row r="15" spans="1:17" x14ac:dyDescent="0.25">
      <c r="A15" t="s">
        <v>186</v>
      </c>
      <c r="C15" s="57">
        <v>600</v>
      </c>
      <c r="D15" s="10">
        <v>600</v>
      </c>
      <c r="E15" s="57">
        <f t="shared" ref="E15:E21" si="1">SUM(C15:D15)</f>
        <v>1200</v>
      </c>
      <c r="I15" s="87" t="s">
        <v>69</v>
      </c>
      <c r="J15" s="57">
        <v>0</v>
      </c>
      <c r="K15" s="57">
        <v>613.48</v>
      </c>
    </row>
    <row r="16" spans="1:17" x14ac:dyDescent="0.25">
      <c r="A16" t="s">
        <v>187</v>
      </c>
      <c r="C16" s="57">
        <v>62500</v>
      </c>
      <c r="D16" s="10">
        <v>62500</v>
      </c>
      <c r="E16" s="57">
        <f t="shared" si="1"/>
        <v>125000</v>
      </c>
      <c r="I16" s="87" t="s">
        <v>260</v>
      </c>
      <c r="J16" s="57">
        <v>0</v>
      </c>
      <c r="K16" s="57">
        <v>11714.5</v>
      </c>
    </row>
    <row r="17" spans="1:11" x14ac:dyDescent="0.25">
      <c r="A17" t="s">
        <v>188</v>
      </c>
      <c r="C17" s="57">
        <v>500</v>
      </c>
      <c r="D17" s="10">
        <v>500</v>
      </c>
      <c r="E17" s="57">
        <f t="shared" si="1"/>
        <v>1000</v>
      </c>
      <c r="I17" t="s">
        <v>73</v>
      </c>
      <c r="J17" s="57">
        <v>2000</v>
      </c>
      <c r="K17" s="88">
        <v>265.5</v>
      </c>
    </row>
    <row r="18" spans="1:11" x14ac:dyDescent="0.25">
      <c r="A18" t="s">
        <v>189</v>
      </c>
      <c r="C18" s="57">
        <v>5000</v>
      </c>
      <c r="D18" s="10">
        <v>5000</v>
      </c>
      <c r="E18" s="57">
        <f t="shared" si="1"/>
        <v>10000</v>
      </c>
      <c r="I18" t="s">
        <v>96</v>
      </c>
      <c r="J18" s="115">
        <v>3000</v>
      </c>
      <c r="K18" s="115">
        <v>0</v>
      </c>
    </row>
    <row r="19" spans="1:11" x14ac:dyDescent="0.25">
      <c r="A19" t="s">
        <v>47</v>
      </c>
      <c r="C19" s="57">
        <v>1000</v>
      </c>
      <c r="D19" s="10">
        <v>1000</v>
      </c>
      <c r="E19" s="57">
        <f t="shared" si="1"/>
        <v>2000</v>
      </c>
      <c r="I19" s="15" t="s">
        <v>32</v>
      </c>
      <c r="J19" s="61">
        <f>J18+J17+J14+J12+J13+J15+J16</f>
        <v>51400</v>
      </c>
      <c r="K19" s="61">
        <f>SUM(K12:K18)</f>
        <v>52577.23</v>
      </c>
    </row>
    <row r="20" spans="1:11" x14ac:dyDescent="0.25">
      <c r="A20" t="s">
        <v>63</v>
      </c>
      <c r="C20" s="57">
        <v>1000</v>
      </c>
      <c r="D20" s="10">
        <v>1000</v>
      </c>
      <c r="E20" s="57">
        <f t="shared" si="1"/>
        <v>2000</v>
      </c>
      <c r="J20" s="1"/>
      <c r="K20" s="1"/>
    </row>
    <row r="21" spans="1:11" x14ac:dyDescent="0.25">
      <c r="A21" s="15" t="s">
        <v>32</v>
      </c>
      <c r="B21" s="15"/>
      <c r="C21" s="16">
        <f>SUM(C13:C20)</f>
        <v>103600</v>
      </c>
      <c r="D21" s="17">
        <f>SUM(D13:D20)</f>
        <v>100600</v>
      </c>
      <c r="E21" s="16">
        <f t="shared" si="1"/>
        <v>204200</v>
      </c>
      <c r="I21" s="15" t="s">
        <v>102</v>
      </c>
      <c r="J21" s="16">
        <f>J9-J19</f>
        <v>8600</v>
      </c>
      <c r="K21" s="16">
        <f>K9-K19</f>
        <v>28025.93</v>
      </c>
    </row>
    <row r="22" spans="1:11" x14ac:dyDescent="0.25">
      <c r="C22" s="57"/>
      <c r="D22" s="10"/>
      <c r="E22" s="57"/>
    </row>
    <row r="23" spans="1:11" x14ac:dyDescent="0.25">
      <c r="A23" s="15" t="s">
        <v>66</v>
      </c>
      <c r="B23" s="15"/>
      <c r="C23" s="16">
        <f>C10-C21</f>
        <v>-27475</v>
      </c>
      <c r="D23" s="16">
        <f>D10-D21</f>
        <v>-1850</v>
      </c>
      <c r="E23" s="16">
        <f>E10-E21</f>
        <v>-29325</v>
      </c>
    </row>
    <row r="24" spans="1:11" x14ac:dyDescent="0.25">
      <c r="C24" s="1"/>
      <c r="D24" s="1"/>
      <c r="E24" s="1"/>
    </row>
    <row r="25" spans="1:11" x14ac:dyDescent="0.25">
      <c r="C25" s="1"/>
      <c r="D25" s="1"/>
      <c r="E25" s="1"/>
    </row>
    <row r="26" spans="1:11" x14ac:dyDescent="0.25">
      <c r="A26" t="s">
        <v>261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15" sqref="E15"/>
    </sheetView>
  </sheetViews>
  <sheetFormatPr defaultColWidth="8.85546875" defaultRowHeight="15" x14ac:dyDescent="0.25"/>
  <cols>
    <col min="1" max="1" width="29.85546875" bestFit="1" customWidth="1"/>
    <col min="3" max="5" width="9.7109375" style="1" bestFit="1" customWidth="1"/>
    <col min="8" max="8" width="29.85546875" bestFit="1" customWidth="1"/>
    <col min="10" max="10" width="8.85546875" style="23"/>
  </cols>
  <sheetData>
    <row r="1" spans="1:5" x14ac:dyDescent="0.25">
      <c r="A1" s="2" t="s">
        <v>190</v>
      </c>
      <c r="B1" s="2"/>
      <c r="C1" s="3" t="s">
        <v>1</v>
      </c>
      <c r="D1" s="3" t="s">
        <v>2</v>
      </c>
      <c r="E1" s="3" t="s">
        <v>3</v>
      </c>
    </row>
    <row r="3" spans="1:5" x14ac:dyDescent="0.25">
      <c r="A3" s="8" t="s">
        <v>143</v>
      </c>
      <c r="C3" s="9"/>
      <c r="D3" s="10"/>
      <c r="E3" s="9"/>
    </row>
    <row r="4" spans="1:5" x14ac:dyDescent="0.25">
      <c r="A4" t="s">
        <v>191</v>
      </c>
      <c r="C4" s="9">
        <v>5000</v>
      </c>
      <c r="D4" s="10">
        <v>5000</v>
      </c>
      <c r="E4" s="9">
        <f>SUM(C4:D4)</f>
        <v>10000</v>
      </c>
    </row>
    <row r="5" spans="1:5" x14ac:dyDescent="0.25">
      <c r="A5" s="15" t="s">
        <v>32</v>
      </c>
      <c r="B5" s="15"/>
      <c r="C5" s="68">
        <v>5000</v>
      </c>
      <c r="D5" s="69">
        <v>5000</v>
      </c>
      <c r="E5" s="68">
        <f>SUM(C5:D5)</f>
        <v>10000</v>
      </c>
    </row>
    <row r="6" spans="1:5" x14ac:dyDescent="0.25">
      <c r="C6" s="9"/>
      <c r="D6" s="10"/>
      <c r="E6" s="9"/>
    </row>
    <row r="7" spans="1:5" x14ac:dyDescent="0.25">
      <c r="A7" s="8" t="s">
        <v>192</v>
      </c>
      <c r="C7" s="9"/>
      <c r="D7" s="10"/>
      <c r="E7" s="9"/>
    </row>
    <row r="8" spans="1:5" x14ac:dyDescent="0.25">
      <c r="A8" s="70" t="s">
        <v>104</v>
      </c>
      <c r="C8" s="9">
        <v>5000</v>
      </c>
      <c r="D8" s="10">
        <v>5000</v>
      </c>
      <c r="E8" s="9">
        <f t="shared" ref="E8:E13" si="0">SUM(C8:D8)</f>
        <v>10000</v>
      </c>
    </row>
    <row r="9" spans="1:5" x14ac:dyDescent="0.25">
      <c r="A9" s="70" t="s">
        <v>193</v>
      </c>
      <c r="C9" s="9">
        <v>5000</v>
      </c>
      <c r="D9" s="10">
        <v>5000</v>
      </c>
      <c r="E9" s="9">
        <f t="shared" si="0"/>
        <v>10000</v>
      </c>
    </row>
    <row r="10" spans="1:5" x14ac:dyDescent="0.25">
      <c r="A10" s="70" t="s">
        <v>194</v>
      </c>
      <c r="C10" s="9">
        <v>1500</v>
      </c>
      <c r="D10" s="10">
        <v>1500</v>
      </c>
      <c r="E10" s="9">
        <f t="shared" si="0"/>
        <v>3000</v>
      </c>
    </row>
    <row r="11" spans="1:5" x14ac:dyDescent="0.25">
      <c r="A11" s="70" t="s">
        <v>195</v>
      </c>
      <c r="C11" s="9">
        <v>5000</v>
      </c>
      <c r="D11" s="10">
        <v>5000</v>
      </c>
      <c r="E11" s="9">
        <f t="shared" si="0"/>
        <v>10000</v>
      </c>
    </row>
    <row r="12" spans="1:5" x14ac:dyDescent="0.25">
      <c r="A12" s="70" t="s">
        <v>196</v>
      </c>
      <c r="C12" s="9">
        <v>1000</v>
      </c>
      <c r="D12" s="10">
        <v>1000</v>
      </c>
      <c r="E12" s="9">
        <f t="shared" si="0"/>
        <v>2000</v>
      </c>
    </row>
    <row r="13" spans="1:5" x14ac:dyDescent="0.25">
      <c r="A13" s="71" t="s">
        <v>32</v>
      </c>
      <c r="B13" s="15"/>
      <c r="C13" s="68">
        <f>SUM(C8:C12)</f>
        <v>17500</v>
      </c>
      <c r="D13" s="69">
        <f>SUM(D8:D12)</f>
        <v>17500</v>
      </c>
      <c r="E13" s="68">
        <f t="shared" si="0"/>
        <v>35000</v>
      </c>
    </row>
    <row r="14" spans="1:5" x14ac:dyDescent="0.25">
      <c r="C14" s="9"/>
      <c r="D14" s="10"/>
      <c r="E14" s="9"/>
    </row>
    <row r="15" spans="1:5" x14ac:dyDescent="0.25">
      <c r="A15" s="71" t="s">
        <v>66</v>
      </c>
      <c r="B15" s="15"/>
      <c r="C15" s="68">
        <f>C5-C13</f>
        <v>-12500</v>
      </c>
      <c r="D15" s="69">
        <f>D5-D13</f>
        <v>-12500</v>
      </c>
      <c r="E15" s="68">
        <f>E5-E13</f>
        <v>-25000</v>
      </c>
    </row>
    <row r="18" spans="1:5" x14ac:dyDescent="0.25">
      <c r="C18" s="3" t="s">
        <v>223</v>
      </c>
      <c r="E18" s="102" t="s">
        <v>6</v>
      </c>
    </row>
    <row r="19" spans="1:5" x14ac:dyDescent="0.25">
      <c r="C19" s="23"/>
    </row>
    <row r="20" spans="1:5" x14ac:dyDescent="0.25">
      <c r="A20" s="91" t="s">
        <v>7</v>
      </c>
      <c r="C20" s="89"/>
      <c r="E20" s="88"/>
    </row>
    <row r="21" spans="1:5" x14ac:dyDescent="0.25">
      <c r="A21" t="s">
        <v>224</v>
      </c>
      <c r="C21" s="89">
        <v>5000</v>
      </c>
      <c r="E21" s="88">
        <v>0</v>
      </c>
    </row>
    <row r="22" spans="1:5" x14ac:dyDescent="0.25">
      <c r="A22" t="s">
        <v>163</v>
      </c>
      <c r="C22" s="89">
        <v>3.85</v>
      </c>
      <c r="E22" s="88">
        <v>0</v>
      </c>
    </row>
    <row r="23" spans="1:5" x14ac:dyDescent="0.25">
      <c r="A23" t="s">
        <v>228</v>
      </c>
      <c r="C23" s="89">
        <v>4486.5</v>
      </c>
      <c r="E23" s="88">
        <v>0</v>
      </c>
    </row>
    <row r="24" spans="1:5" ht="15.75" thickBot="1" x14ac:dyDescent="0.3">
      <c r="A24" s="92" t="s">
        <v>32</v>
      </c>
      <c r="B24" s="92"/>
      <c r="C24" s="93">
        <f>C21+C22+C23</f>
        <v>9490.35</v>
      </c>
      <c r="E24" s="95">
        <f>E21+E23</f>
        <v>0</v>
      </c>
    </row>
    <row r="25" spans="1:5" ht="15.75" thickTop="1" x14ac:dyDescent="0.25">
      <c r="C25" s="89"/>
      <c r="E25" s="88"/>
    </row>
    <row r="26" spans="1:5" x14ac:dyDescent="0.25">
      <c r="A26" s="91" t="s">
        <v>35</v>
      </c>
      <c r="C26" s="89"/>
      <c r="E26" s="88"/>
    </row>
    <row r="27" spans="1:5" x14ac:dyDescent="0.25">
      <c r="A27" t="s">
        <v>200</v>
      </c>
      <c r="C27" s="89">
        <v>7867.99</v>
      </c>
      <c r="E27" s="88">
        <v>0</v>
      </c>
    </row>
    <row r="28" spans="1:5" x14ac:dyDescent="0.25">
      <c r="A28" t="s">
        <v>225</v>
      </c>
      <c r="C28" s="89">
        <v>2330.1999999999998</v>
      </c>
      <c r="E28" s="88">
        <v>5000</v>
      </c>
    </row>
    <row r="29" spans="1:5" x14ac:dyDescent="0.25">
      <c r="A29" t="s">
        <v>229</v>
      </c>
      <c r="C29" s="89">
        <f>158.8+294.19</f>
        <v>452.99</v>
      </c>
      <c r="E29" s="88">
        <v>0</v>
      </c>
    </row>
    <row r="30" spans="1:5" x14ac:dyDescent="0.25">
      <c r="A30" t="s">
        <v>226</v>
      </c>
      <c r="C30" s="89">
        <v>2579.9</v>
      </c>
      <c r="E30" s="88">
        <v>3000</v>
      </c>
    </row>
    <row r="31" spans="1:5" x14ac:dyDescent="0.25">
      <c r="A31" t="s">
        <v>232</v>
      </c>
      <c r="C31" s="89">
        <v>0</v>
      </c>
      <c r="E31" s="88">
        <v>1000</v>
      </c>
    </row>
    <row r="32" spans="1:5" x14ac:dyDescent="0.25">
      <c r="A32" t="s">
        <v>227</v>
      </c>
      <c r="C32" s="89">
        <v>28</v>
      </c>
      <c r="E32" s="88">
        <v>1000</v>
      </c>
    </row>
    <row r="33" spans="1:5" ht="17.25" x14ac:dyDescent="0.25">
      <c r="A33" t="s">
        <v>224</v>
      </c>
      <c r="C33" s="89">
        <v>752.5</v>
      </c>
      <c r="D33" s="101">
        <v>1</v>
      </c>
      <c r="E33" s="88">
        <v>0</v>
      </c>
    </row>
    <row r="34" spans="1:5" ht="15.75" thickBot="1" x14ac:dyDescent="0.3">
      <c r="A34" s="92" t="s">
        <v>32</v>
      </c>
      <c r="B34" s="92"/>
      <c r="C34" s="93">
        <f>C28+C30+C32+C33+C27+C29</f>
        <v>14011.58</v>
      </c>
      <c r="E34" s="95">
        <f>E28+E30+E31+E32</f>
        <v>10000</v>
      </c>
    </row>
    <row r="35" spans="1:5" ht="15.75" thickTop="1" x14ac:dyDescent="0.25">
      <c r="C35" s="89"/>
      <c r="E35" s="88"/>
    </row>
    <row r="36" spans="1:5" ht="15.75" thickBot="1" x14ac:dyDescent="0.3">
      <c r="A36" s="92" t="s">
        <v>66</v>
      </c>
      <c r="B36" s="92"/>
      <c r="C36" s="93">
        <f>C24-C34</f>
        <v>-4521.2299999999996</v>
      </c>
      <c r="E36" s="95">
        <f>E24-E34</f>
        <v>-10000</v>
      </c>
    </row>
    <row r="37" spans="1:5" ht="15.75" thickTop="1" x14ac:dyDescent="0.25"/>
    <row r="40" spans="1:5" x14ac:dyDescent="0.25">
      <c r="A40" t="s">
        <v>231</v>
      </c>
    </row>
  </sheetData>
  <pageMargins left="0.7" right="0.7" top="0.75" bottom="0.75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46" sqref="D46"/>
    </sheetView>
  </sheetViews>
  <sheetFormatPr defaultColWidth="8.85546875" defaultRowHeight="15" x14ac:dyDescent="0.25"/>
  <cols>
    <col min="1" max="1" width="33.28515625" bestFit="1" customWidth="1"/>
  </cols>
  <sheetData>
    <row r="1" spans="1:5" x14ac:dyDescent="0.25">
      <c r="A1" s="2" t="s">
        <v>197</v>
      </c>
      <c r="B1" s="2"/>
      <c r="C1" s="2" t="s">
        <v>1</v>
      </c>
      <c r="D1" s="2" t="s">
        <v>2</v>
      </c>
      <c r="E1" s="2" t="s">
        <v>3</v>
      </c>
    </row>
    <row r="3" spans="1:5" x14ac:dyDescent="0.25">
      <c r="A3" s="11" t="s">
        <v>7</v>
      </c>
      <c r="C3" s="64"/>
      <c r="D3" s="64"/>
      <c r="E3" s="64"/>
    </row>
    <row r="4" spans="1:5" x14ac:dyDescent="0.25">
      <c r="A4" t="s">
        <v>161</v>
      </c>
      <c r="C4" s="9"/>
      <c r="D4" s="9"/>
      <c r="E4" s="9"/>
    </row>
    <row r="5" spans="1:5" x14ac:dyDescent="0.25">
      <c r="A5" t="s">
        <v>198</v>
      </c>
      <c r="C5" s="9">
        <v>15000</v>
      </c>
      <c r="D5" s="9">
        <v>0</v>
      </c>
      <c r="E5" s="9">
        <f>C5+D5</f>
        <v>15000</v>
      </c>
    </row>
    <row r="6" spans="1:5" x14ac:dyDescent="0.25">
      <c r="A6" t="s">
        <v>199</v>
      </c>
      <c r="C6" s="9">
        <v>18000</v>
      </c>
      <c r="D6" s="9">
        <v>0</v>
      </c>
      <c r="E6" s="9">
        <f>C6+D6</f>
        <v>18000</v>
      </c>
    </row>
    <row r="7" spans="1:5" x14ac:dyDescent="0.25">
      <c r="A7" t="s">
        <v>162</v>
      </c>
      <c r="C7" s="9">
        <v>15000</v>
      </c>
      <c r="D7" s="9">
        <v>0</v>
      </c>
      <c r="E7" s="9">
        <f>C7+D7</f>
        <v>15000</v>
      </c>
    </row>
    <row r="8" spans="1:5" x14ac:dyDescent="0.25">
      <c r="A8" s="14" t="s">
        <v>29</v>
      </c>
      <c r="C8" s="9">
        <v>0</v>
      </c>
      <c r="D8" s="9">
        <v>0</v>
      </c>
      <c r="E8" s="9">
        <f>C8+D8</f>
        <v>0</v>
      </c>
    </row>
    <row r="9" spans="1:5" x14ac:dyDescent="0.25">
      <c r="A9" s="20" t="s">
        <v>32</v>
      </c>
      <c r="B9" s="15"/>
      <c r="C9" s="16">
        <f>SUM(C4:C8)</f>
        <v>48000</v>
      </c>
      <c r="D9" s="16">
        <f>SUM(D4:D8)</f>
        <v>0</v>
      </c>
      <c r="E9" s="16">
        <f>C9+D9</f>
        <v>48000</v>
      </c>
    </row>
    <row r="10" spans="1:5" x14ac:dyDescent="0.25">
      <c r="C10" s="9"/>
      <c r="D10" s="9"/>
      <c r="E10" s="9"/>
    </row>
    <row r="11" spans="1:5" x14ac:dyDescent="0.25">
      <c r="A11" s="11" t="s">
        <v>35</v>
      </c>
      <c r="C11" s="9"/>
      <c r="D11" s="9"/>
      <c r="E11" s="9"/>
    </row>
    <row r="12" spans="1:5" x14ac:dyDescent="0.25">
      <c r="A12" s="11" t="s">
        <v>235</v>
      </c>
      <c r="C12" s="57">
        <v>10000</v>
      </c>
      <c r="D12" s="57">
        <v>0</v>
      </c>
      <c r="E12" s="57">
        <f>C12+D12</f>
        <v>10000</v>
      </c>
    </row>
    <row r="13" spans="1:5" x14ac:dyDescent="0.25">
      <c r="A13" s="14" t="s">
        <v>200</v>
      </c>
      <c r="C13" s="9">
        <v>0</v>
      </c>
      <c r="D13" s="9">
        <v>0</v>
      </c>
      <c r="E13" s="9">
        <f t="shared" ref="E13:E21" si="0">C13+D13</f>
        <v>0</v>
      </c>
    </row>
    <row r="14" spans="1:5" x14ac:dyDescent="0.25">
      <c r="A14" s="14" t="s">
        <v>104</v>
      </c>
      <c r="C14" s="9">
        <v>0</v>
      </c>
      <c r="D14" s="9">
        <v>0</v>
      </c>
      <c r="E14" s="9">
        <f t="shared" si="0"/>
        <v>0</v>
      </c>
    </row>
    <row r="15" spans="1:5" x14ac:dyDescent="0.25">
      <c r="A15" s="14" t="s">
        <v>55</v>
      </c>
      <c r="C15" s="9">
        <v>1000</v>
      </c>
      <c r="D15" s="9">
        <v>0</v>
      </c>
      <c r="E15" s="9">
        <f t="shared" si="0"/>
        <v>1000</v>
      </c>
    </row>
    <row r="16" spans="1:5" x14ac:dyDescent="0.25">
      <c r="A16" s="14" t="s">
        <v>148</v>
      </c>
      <c r="C16" s="9">
        <v>16000</v>
      </c>
      <c r="D16" s="9">
        <v>0</v>
      </c>
      <c r="E16" s="9">
        <f t="shared" si="0"/>
        <v>16000</v>
      </c>
    </row>
    <row r="17" spans="1:5" x14ac:dyDescent="0.25">
      <c r="A17" s="14" t="s">
        <v>201</v>
      </c>
      <c r="C17" s="9">
        <v>15500</v>
      </c>
      <c r="D17" s="9">
        <v>0</v>
      </c>
      <c r="E17" s="9">
        <f t="shared" si="0"/>
        <v>15500</v>
      </c>
    </row>
    <row r="18" spans="1:5" x14ac:dyDescent="0.25">
      <c r="A18" s="14" t="s">
        <v>202</v>
      </c>
      <c r="C18" s="9">
        <v>0</v>
      </c>
      <c r="D18" s="9">
        <v>0</v>
      </c>
      <c r="E18" s="9">
        <f t="shared" si="0"/>
        <v>0</v>
      </c>
    </row>
    <row r="19" spans="1:5" x14ac:dyDescent="0.25">
      <c r="A19" s="14" t="s">
        <v>203</v>
      </c>
      <c r="C19" s="9">
        <v>1500</v>
      </c>
      <c r="D19" s="9">
        <v>0</v>
      </c>
      <c r="E19" s="9">
        <f t="shared" si="0"/>
        <v>1500</v>
      </c>
    </row>
    <row r="20" spans="1:5" x14ac:dyDescent="0.25">
      <c r="A20" s="14" t="s">
        <v>47</v>
      </c>
      <c r="C20" s="9">
        <v>0</v>
      </c>
      <c r="D20" s="9">
        <v>0</v>
      </c>
      <c r="E20" s="9">
        <f t="shared" si="0"/>
        <v>0</v>
      </c>
    </row>
    <row r="21" spans="1:5" x14ac:dyDescent="0.25">
      <c r="A21" s="14" t="s">
        <v>63</v>
      </c>
      <c r="C21" s="9">
        <v>2000</v>
      </c>
      <c r="D21" s="9">
        <v>0</v>
      </c>
      <c r="E21" s="9">
        <f t="shared" si="0"/>
        <v>2000</v>
      </c>
    </row>
    <row r="22" spans="1:5" x14ac:dyDescent="0.25">
      <c r="A22" s="20" t="s">
        <v>32</v>
      </c>
      <c r="B22" s="22"/>
      <c r="C22" s="16">
        <f>SUM(C12:C21)</f>
        <v>46000</v>
      </c>
      <c r="D22" s="16">
        <f>SUM(D13:D17)</f>
        <v>0</v>
      </c>
      <c r="E22" s="16">
        <f>C22+D22</f>
        <v>46000</v>
      </c>
    </row>
    <row r="23" spans="1:5" x14ac:dyDescent="0.25">
      <c r="A23" s="11"/>
      <c r="C23" s="9"/>
      <c r="D23" s="9"/>
      <c r="E23" s="9"/>
    </row>
    <row r="24" spans="1:5" x14ac:dyDescent="0.25">
      <c r="A24" s="22" t="s">
        <v>102</v>
      </c>
      <c r="B24" s="22"/>
      <c r="C24" s="16">
        <f>C9-C22</f>
        <v>2000</v>
      </c>
      <c r="D24" s="16">
        <f>D9-D22</f>
        <v>0</v>
      </c>
      <c r="E24" s="16">
        <f>E9-E22</f>
        <v>2000</v>
      </c>
    </row>
    <row r="28" spans="1:5" x14ac:dyDescent="0.25">
      <c r="A28" s="110" t="s">
        <v>242</v>
      </c>
      <c r="B28" s="88"/>
      <c r="C28" t="s">
        <v>243</v>
      </c>
    </row>
    <row r="29" spans="1:5" x14ac:dyDescent="0.25">
      <c r="A29" t="s">
        <v>244</v>
      </c>
      <c r="B29" s="88">
        <v>15000</v>
      </c>
      <c r="C29" t="s">
        <v>245</v>
      </c>
    </row>
    <row r="30" spans="1:5" x14ac:dyDescent="0.25">
      <c r="A30" t="s">
        <v>246</v>
      </c>
      <c r="B30" s="88">
        <v>18500</v>
      </c>
    </row>
    <row r="31" spans="1:5" x14ac:dyDescent="0.25">
      <c r="A31" t="s">
        <v>247</v>
      </c>
      <c r="B31" s="88">
        <v>15540</v>
      </c>
    </row>
    <row r="32" spans="1:5" ht="15.75" thickBot="1" x14ac:dyDescent="0.3">
      <c r="A32" s="111" t="s">
        <v>248</v>
      </c>
      <c r="B32" s="95">
        <v>49040</v>
      </c>
    </row>
    <row r="33" spans="1:3" ht="15.75" thickTop="1" x14ac:dyDescent="0.25">
      <c r="B33" s="88"/>
    </row>
    <row r="34" spans="1:3" x14ac:dyDescent="0.25">
      <c r="A34" s="110" t="s">
        <v>35</v>
      </c>
      <c r="B34" s="88"/>
    </row>
    <row r="35" spans="1:3" x14ac:dyDescent="0.25">
      <c r="A35" t="s">
        <v>249</v>
      </c>
      <c r="B35" s="88">
        <v>10469</v>
      </c>
      <c r="C35" t="s">
        <v>250</v>
      </c>
    </row>
    <row r="36" spans="1:3" x14ac:dyDescent="0.25">
      <c r="A36" t="s">
        <v>251</v>
      </c>
      <c r="B36" s="88">
        <v>1702</v>
      </c>
      <c r="C36" t="s">
        <v>252</v>
      </c>
    </row>
    <row r="37" spans="1:3" x14ac:dyDescent="0.25">
      <c r="A37" t="s">
        <v>253</v>
      </c>
      <c r="B37" s="88">
        <v>2416</v>
      </c>
      <c r="C37" t="s">
        <v>254</v>
      </c>
    </row>
    <row r="38" spans="1:3" x14ac:dyDescent="0.25">
      <c r="A38" t="s">
        <v>47</v>
      </c>
      <c r="B38" s="88">
        <v>134</v>
      </c>
      <c r="C38" t="s">
        <v>255</v>
      </c>
    </row>
    <row r="39" spans="1:3" x14ac:dyDescent="0.25">
      <c r="A39" t="s">
        <v>256</v>
      </c>
      <c r="B39" s="88">
        <v>3390</v>
      </c>
      <c r="C39" s="112" t="s">
        <v>257</v>
      </c>
    </row>
    <row r="40" spans="1:3" x14ac:dyDescent="0.25">
      <c r="A40" t="s">
        <v>247</v>
      </c>
      <c r="B40" s="88">
        <v>15540</v>
      </c>
    </row>
    <row r="41" spans="1:3" ht="15.75" thickBot="1" x14ac:dyDescent="0.3">
      <c r="A41" s="111" t="s">
        <v>238</v>
      </c>
      <c r="B41" s="95">
        <v>33651</v>
      </c>
    </row>
    <row r="42" spans="1:3" ht="15.75" thickTop="1" x14ac:dyDescent="0.25">
      <c r="B42" s="88"/>
    </row>
    <row r="43" spans="1:3" ht="15.75" thickBot="1" x14ac:dyDescent="0.3">
      <c r="A43" s="111" t="s">
        <v>258</v>
      </c>
      <c r="B43" s="95">
        <v>15389</v>
      </c>
    </row>
    <row r="44" spans="1:3" ht="15.75" thickTop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arrKom</vt:lpstr>
      <vt:lpstr>banKom</vt:lpstr>
      <vt:lpstr>bedKom</vt:lpstr>
      <vt:lpstr>dotKom</vt:lpstr>
      <vt:lpstr>fagKom</vt:lpstr>
      <vt:lpstr>HS</vt:lpstr>
      <vt:lpstr>proKom</vt:lpstr>
      <vt:lpstr>triKom</vt:lpstr>
      <vt:lpstr>velKom</vt:lpstr>
      <vt:lpstr>studLAN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Ada</cp:lastModifiedBy>
  <cp:revision>0</cp:revision>
  <dcterms:modified xsi:type="dcterms:W3CDTF">2012-04-10T20:31:46Z</dcterms:modified>
</cp:coreProperties>
</file>