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90" windowWidth="19140" windowHeight="11955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  <webPublishing codePage="1252"/>
  <fileRecoveryPr repairLoad="1"/>
</workbook>
</file>

<file path=xl/calcChain.xml><?xml version="1.0" encoding="utf-8"?>
<calcChain xmlns="http://schemas.openxmlformats.org/spreadsheetml/2006/main">
  <c r="D1" i="1"/>
  <c r="A389"/>
  <c r="A387"/>
  <c r="A385"/>
  <c r="A383"/>
  <c r="A381"/>
  <c r="A379"/>
  <c r="A377"/>
  <c r="A375"/>
  <c r="A373"/>
  <c r="A371"/>
  <c r="A369"/>
  <c r="A367"/>
  <c r="A365"/>
  <c r="A363"/>
  <c r="A361"/>
  <c r="A359"/>
  <c r="A357"/>
  <c r="A355"/>
  <c r="A353"/>
  <c r="A351"/>
  <c r="A349"/>
  <c r="A347"/>
  <c r="A345"/>
  <c r="A343"/>
  <c r="A341"/>
  <c r="A339"/>
  <c r="A337"/>
  <c r="A335"/>
  <c r="A333"/>
  <c r="A331"/>
  <c r="A329"/>
  <c r="A327"/>
  <c r="A325"/>
  <c r="A323"/>
  <c r="A321"/>
  <c r="A319"/>
  <c r="A317"/>
  <c r="A315"/>
  <c r="A313"/>
  <c r="A311"/>
  <c r="A309"/>
  <c r="A307"/>
  <c r="A305"/>
  <c r="A303"/>
  <c r="A301"/>
  <c r="A299"/>
  <c r="A297"/>
  <c r="A295"/>
  <c r="A293"/>
  <c r="A291"/>
  <c r="A289"/>
  <c r="A287"/>
  <c r="A285"/>
  <c r="A283"/>
  <c r="A281"/>
  <c r="A279"/>
  <c r="A277"/>
  <c r="A275"/>
  <c r="A273"/>
  <c r="A271"/>
  <c r="A269"/>
  <c r="A267"/>
  <c r="A265"/>
  <c r="A263"/>
  <c r="A261"/>
  <c r="A259"/>
  <c r="A257"/>
  <c r="A255"/>
  <c r="A253"/>
  <c r="A251"/>
  <c r="A249"/>
  <c r="A247"/>
  <c r="A245"/>
  <c r="A243"/>
  <c r="A241"/>
  <c r="A239"/>
  <c r="A237"/>
  <c r="A235"/>
  <c r="A233"/>
  <c r="A231"/>
  <c r="A229"/>
  <c r="A227"/>
  <c r="A225"/>
  <c r="A223"/>
  <c r="A221"/>
  <c r="A219"/>
  <c r="A217"/>
  <c r="A215"/>
  <c r="A213"/>
  <c r="A211"/>
  <c r="A209"/>
  <c r="A207"/>
  <c r="A205"/>
  <c r="A203"/>
  <c r="A201"/>
  <c r="A199"/>
  <c r="A197"/>
  <c r="A195"/>
  <c r="A193"/>
  <c r="A191"/>
  <c r="A189"/>
  <c r="A187"/>
  <c r="A185"/>
  <c r="A183"/>
  <c r="A181"/>
  <c r="A179"/>
  <c r="A177"/>
  <c r="A175"/>
  <c r="A173"/>
  <c r="A171"/>
  <c r="A169"/>
  <c r="A167"/>
  <c r="A165"/>
  <c r="A163"/>
  <c r="A161"/>
  <c r="A159"/>
  <c r="A157"/>
  <c r="A155"/>
  <c r="A153"/>
  <c r="A151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A111"/>
  <c r="A109"/>
  <c r="A107"/>
  <c r="A105"/>
  <c r="A103"/>
  <c r="A101"/>
  <c r="A99"/>
  <c r="A97"/>
  <c r="A95"/>
  <c r="A93"/>
  <c r="A91"/>
  <c r="A89"/>
  <c r="A87"/>
  <c r="A85"/>
  <c r="A83"/>
  <c r="A81"/>
  <c r="A79"/>
  <c r="A77"/>
  <c r="A75"/>
  <c r="A73"/>
  <c r="A71"/>
  <c r="A69"/>
  <c r="A67"/>
  <c r="A65"/>
  <c r="A63"/>
  <c r="A61"/>
  <c r="A59"/>
  <c r="A57"/>
  <c r="A55"/>
  <c r="A53"/>
  <c r="A51"/>
  <c r="A49"/>
  <c r="A47"/>
  <c r="A45"/>
  <c r="A43"/>
  <c r="A41"/>
  <c r="A39"/>
  <c r="A37"/>
  <c r="A35"/>
  <c r="A33"/>
  <c r="A31"/>
  <c r="A29"/>
  <c r="A27"/>
  <c r="A25"/>
  <c r="A23"/>
  <c r="A21"/>
  <c r="A19"/>
  <c r="A17"/>
  <c r="A15"/>
  <c r="A13"/>
  <c r="A11"/>
  <c r="A9"/>
  <c r="A7"/>
  <c r="A5"/>
  <c r="A3"/>
  <c r="D389"/>
  <c r="D387"/>
  <c r="D385"/>
  <c r="D383"/>
  <c r="D381"/>
  <c r="D379"/>
  <c r="D377"/>
  <c r="D375"/>
  <c r="D373"/>
  <c r="D371"/>
  <c r="D369"/>
  <c r="D367"/>
  <c r="D365"/>
  <c r="D363"/>
  <c r="D361"/>
  <c r="D359"/>
  <c r="D357"/>
  <c r="D355"/>
  <c r="D353"/>
  <c r="D351"/>
  <c r="D349"/>
  <c r="D347"/>
  <c r="D345"/>
  <c r="D343"/>
  <c r="D341"/>
  <c r="D339"/>
  <c r="D337"/>
  <c r="D335"/>
  <c r="D333"/>
  <c r="D331"/>
  <c r="A391"/>
  <c r="D391" s="1"/>
  <c r="A390"/>
  <c r="D390" s="1"/>
  <c r="A388"/>
  <c r="D388" s="1"/>
  <c r="A386"/>
  <c r="D386" s="1"/>
  <c r="A384"/>
  <c r="D384" s="1"/>
  <c r="A382"/>
  <c r="D382" s="1"/>
  <c r="A380"/>
  <c r="D380" s="1"/>
  <c r="A378"/>
  <c r="D378" s="1"/>
  <c r="A376"/>
  <c r="D376" s="1"/>
  <c r="A374"/>
  <c r="D374" s="1"/>
  <c r="A372"/>
  <c r="D372" s="1"/>
  <c r="A370"/>
  <c r="D370" s="1"/>
  <c r="A368"/>
  <c r="D368" s="1"/>
  <c r="A366"/>
  <c r="D366" s="1"/>
  <c r="A364"/>
  <c r="D364" s="1"/>
  <c r="A362"/>
  <c r="D362" s="1"/>
  <c r="A360"/>
  <c r="D360" s="1"/>
  <c r="A358"/>
  <c r="D358" s="1"/>
  <c r="A356"/>
  <c r="D356" s="1"/>
  <c r="A354"/>
  <c r="D354" s="1"/>
  <c r="A352"/>
  <c r="D352" s="1"/>
  <c r="A350"/>
  <c r="D350" s="1"/>
  <c r="A348"/>
  <c r="D348" s="1"/>
  <c r="A346"/>
  <c r="D346" s="1"/>
  <c r="A344"/>
  <c r="D344" s="1"/>
  <c r="A342"/>
  <c r="D342" s="1"/>
  <c r="A340"/>
  <c r="D340" s="1"/>
  <c r="A338"/>
  <c r="D338" s="1"/>
  <c r="A336"/>
  <c r="D336" s="1"/>
  <c r="A334"/>
  <c r="D334" s="1"/>
  <c r="A332"/>
  <c r="D332" s="1"/>
  <c r="A330"/>
  <c r="A328"/>
  <c r="A326"/>
  <c r="A324"/>
  <c r="A322"/>
  <c r="A320"/>
  <c r="A318"/>
  <c r="A316"/>
  <c r="A314"/>
  <c r="A312"/>
  <c r="A310"/>
  <c r="A308"/>
  <c r="A306"/>
  <c r="A304"/>
  <c r="A302"/>
  <c r="A300"/>
  <c r="A298"/>
  <c r="A296"/>
  <c r="A294"/>
  <c r="A292"/>
  <c r="A290"/>
  <c r="A288"/>
  <c r="A286"/>
  <c r="A284"/>
  <c r="A282"/>
  <c r="A280"/>
  <c r="A278"/>
  <c r="A276"/>
  <c r="A274"/>
  <c r="A272"/>
  <c r="A270"/>
  <c r="A268"/>
  <c r="A266"/>
  <c r="A264"/>
  <c r="A262"/>
  <c r="A260"/>
  <c r="A258"/>
  <c r="A256"/>
  <c r="A254"/>
  <c r="A252"/>
  <c r="A250"/>
  <c r="A248"/>
  <c r="A246"/>
  <c r="A244"/>
  <c r="A242"/>
  <c r="A240"/>
  <c r="A238"/>
  <c r="A236"/>
  <c r="A234"/>
  <c r="A232"/>
  <c r="A230"/>
  <c r="A228"/>
  <c r="A226"/>
  <c r="A224"/>
  <c r="A222"/>
  <c r="A220"/>
  <c r="A218"/>
  <c r="A216"/>
  <c r="A214"/>
  <c r="A212"/>
  <c r="A210"/>
  <c r="A208"/>
  <c r="A206"/>
  <c r="A204"/>
  <c r="A202"/>
  <c r="A200"/>
  <c r="A198"/>
  <c r="A196"/>
  <c r="A194"/>
  <c r="A192"/>
  <c r="A190"/>
  <c r="A188"/>
  <c r="A186"/>
  <c r="A184"/>
  <c r="A182"/>
  <c r="A180"/>
  <c r="A178"/>
  <c r="A176"/>
  <c r="A174"/>
  <c r="A172"/>
  <c r="A170"/>
  <c r="A168"/>
  <c r="A166"/>
  <c r="A164"/>
  <c r="A162"/>
  <c r="A160"/>
  <c r="A158"/>
  <c r="A156"/>
  <c r="A154"/>
  <c r="A152"/>
  <c r="A150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0"/>
  <c r="A108"/>
  <c r="A106"/>
  <c r="A104"/>
  <c r="A102"/>
  <c r="A100"/>
  <c r="A98"/>
  <c r="A96"/>
  <c r="A94"/>
  <c r="A92"/>
  <c r="A90"/>
  <c r="A88"/>
  <c r="A86"/>
  <c r="A84"/>
  <c r="A82"/>
  <c r="A80"/>
  <c r="A78"/>
  <c r="A76"/>
  <c r="A74"/>
  <c r="A72"/>
  <c r="A70"/>
  <c r="A68"/>
  <c r="A66"/>
  <c r="A64"/>
  <c r="A62"/>
  <c r="A60"/>
  <c r="A58"/>
  <c r="A56"/>
  <c r="A54"/>
  <c r="A52"/>
  <c r="A50"/>
  <c r="A48"/>
  <c r="A46"/>
  <c r="A44"/>
  <c r="A42"/>
  <c r="A40"/>
  <c r="A38"/>
  <c r="A36"/>
  <c r="A34"/>
  <c r="A32"/>
  <c r="A30"/>
  <c r="A28"/>
  <c r="A26"/>
  <c r="A24"/>
  <c r="A22"/>
  <c r="A20"/>
  <c r="A18"/>
  <c r="A16"/>
  <c r="A14"/>
  <c r="A12"/>
  <c r="A10"/>
  <c r="A8"/>
  <c r="A6"/>
  <c r="A4"/>
  <c r="A2"/>
  <c r="C390"/>
  <c r="C389"/>
  <c r="C388"/>
  <c r="C387"/>
  <c r="C386"/>
  <c r="C385"/>
  <c r="C384"/>
  <c r="C383"/>
  <c r="C382"/>
  <c r="C381"/>
  <c r="C380"/>
  <c r="B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B361"/>
  <c r="C360"/>
  <c r="C359"/>
  <c r="C358"/>
  <c r="C357"/>
  <c r="C356"/>
  <c r="C355"/>
  <c r="C354"/>
  <c r="C353"/>
  <c r="B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B307"/>
  <c r="C306"/>
  <c r="C305"/>
  <c r="C304"/>
  <c r="C303"/>
  <c r="C302"/>
  <c r="C301"/>
  <c r="C300"/>
  <c r="B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D264"/>
  <c r="D262"/>
  <c r="D260"/>
  <c r="D258"/>
  <c r="D256"/>
  <c r="D254"/>
  <c r="D252"/>
  <c r="D250"/>
  <c r="D248"/>
  <c r="D246"/>
  <c r="D244"/>
  <c r="D242"/>
  <c r="D240"/>
  <c r="D238"/>
  <c r="D236"/>
  <c r="D234"/>
  <c r="D232"/>
  <c r="D230"/>
  <c r="D228"/>
  <c r="D226"/>
  <c r="D224"/>
  <c r="D222"/>
  <c r="D220"/>
  <c r="D218"/>
  <c r="D216"/>
  <c r="D214"/>
  <c r="D212"/>
  <c r="D210"/>
  <c r="D208"/>
  <c r="D206"/>
  <c r="D204"/>
  <c r="D202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D6"/>
  <c r="D4"/>
  <c r="D2"/>
  <c r="C263"/>
  <c r="C261"/>
  <c r="C259"/>
  <c r="C257"/>
  <c r="C255"/>
  <c r="C253"/>
  <c r="C251"/>
  <c r="C249"/>
  <c r="C247"/>
  <c r="B245"/>
  <c r="C243"/>
  <c r="C241"/>
  <c r="B239"/>
  <c r="C237"/>
  <c r="B235"/>
  <c r="B233"/>
  <c r="C231"/>
  <c r="C229"/>
  <c r="B227"/>
  <c r="C224"/>
  <c r="B222"/>
  <c r="C220"/>
  <c r="B218"/>
  <c r="C216"/>
  <c r="C214"/>
  <c r="C212"/>
  <c r="C210"/>
  <c r="C208"/>
  <c r="B206"/>
  <c r="C204"/>
  <c r="C202"/>
  <c r="C200"/>
  <c r="C198"/>
  <c r="C196"/>
  <c r="C194"/>
  <c r="C192"/>
  <c r="C190"/>
  <c r="C188"/>
  <c r="C186"/>
  <c r="C184"/>
  <c r="C182"/>
  <c r="C180"/>
  <c r="C178"/>
  <c r="C176"/>
  <c r="C174"/>
  <c r="C171"/>
  <c r="C169"/>
  <c r="C167"/>
  <c r="C165"/>
  <c r="C163"/>
  <c r="C161"/>
  <c r="C159"/>
  <c r="C157"/>
  <c r="C155"/>
  <c r="C153"/>
  <c r="C151"/>
  <c r="B149"/>
  <c r="C147"/>
  <c r="C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5"/>
  <c r="D3"/>
  <c r="C264"/>
  <c r="B262"/>
  <c r="C260"/>
  <c r="B258"/>
  <c r="C256"/>
  <c r="C254"/>
  <c r="C252"/>
  <c r="C250"/>
  <c r="C248"/>
  <c r="C246"/>
  <c r="C244"/>
  <c r="B242"/>
  <c r="C240"/>
  <c r="C238"/>
  <c r="C236"/>
  <c r="C234"/>
  <c r="C232"/>
  <c r="B230"/>
  <c r="C228"/>
  <c r="C225"/>
  <c r="C223"/>
  <c r="C221"/>
  <c r="C219"/>
  <c r="C217"/>
  <c r="C215"/>
  <c r="B213"/>
  <c r="C211"/>
  <c r="C209"/>
  <c r="C207"/>
  <c r="C205"/>
  <c r="C203"/>
  <c r="C201"/>
  <c r="C199"/>
  <c r="C197"/>
  <c r="C195"/>
  <c r="C193"/>
  <c r="B191"/>
  <c r="C189"/>
  <c r="C187"/>
  <c r="C185"/>
  <c r="C183"/>
  <c r="B181"/>
  <c r="C179"/>
  <c r="B177"/>
  <c r="C175"/>
  <c r="B173"/>
  <c r="C170"/>
  <c r="C168"/>
  <c r="C166"/>
  <c r="C164"/>
  <c r="C162"/>
  <c r="C160"/>
  <c r="C158"/>
  <c r="C156"/>
  <c r="C154"/>
  <c r="C152"/>
  <c r="C150"/>
  <c r="C148"/>
  <c r="C145"/>
  <c r="C143"/>
  <c r="C141"/>
  <c r="C139"/>
  <c r="C137"/>
  <c r="C135"/>
  <c r="C133"/>
  <c r="C131"/>
  <c r="C129"/>
  <c r="C127"/>
  <c r="C125"/>
  <c r="C123"/>
  <c r="C121"/>
  <c r="C119"/>
  <c r="C117"/>
  <c r="C115"/>
  <c r="C113"/>
  <c r="C111"/>
  <c r="C109"/>
  <c r="C107"/>
  <c r="C105"/>
  <c r="C103"/>
  <c r="C101"/>
  <c r="C99"/>
  <c r="C97"/>
  <c r="C95"/>
  <c r="C93"/>
  <c r="C91"/>
  <c r="C89"/>
  <c r="C87"/>
  <c r="C85"/>
  <c r="B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B44"/>
  <c r="C41"/>
  <c r="C39"/>
  <c r="C37"/>
  <c r="C35"/>
  <c r="C33"/>
  <c r="B31"/>
  <c r="B29"/>
  <c r="B27"/>
  <c r="B25"/>
  <c r="C23"/>
  <c r="C21"/>
  <c r="C19"/>
  <c r="C17"/>
  <c r="B15"/>
  <c r="B13"/>
  <c r="B11"/>
  <c r="C9"/>
  <c r="B7"/>
  <c r="B5"/>
  <c r="B3"/>
</calcChain>
</file>

<file path=xl/connections.xml><?xml version="1.0" encoding="utf-8"?>
<connections xmlns="http://schemas.openxmlformats.org/spreadsheetml/2006/main">
  <connection id="1" odcFile="C:\Documents and Settings\zeenata\My Documents\My Data Sources\xlextdat9 Adventure Works DW Adventure Works.odc" keepAlive="1" name="xlextdat9 Adventure Works DW Adventure Works" type="5" refreshedVersion="3" background="1" credentials="stored" singleSignOnId="ExcelBIData">
    <dbPr connection="Provider=MSOLAP.3;Cache Authentication=False;Integrated Security=SSPI;Persist Security Info=True;Initial Catalog=Adventure Works DW;Data Source=xlextdat9;Impersonation Level=Impersonate;Mode=ReadWrite;Protection Level=Pkt Privacy;Auto Synch Period=20000;Default Isolation Mode=0;Default MDX Visual Mode=0;MDX Compatibility=1;MDX Unique Name Style=0;Non Empty Threshold=0;SQLQueryMode=Calculated;Safety Options=2;Secured Cell Value=0;SOURCE_DSN_SUFFIX=&quot;Prompt=CompleteRequired;Window Handle=0x2B0366;&quot;;SQL Compatibility=0;Compression Level=0;Real Time Olap=False;Packet Size=4096" command="Adventure Work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2">
    <s v="xlextdat9 Adventure Works DW Adventure Works"/>
    <s v="[Product].[Product Categories].[All Products]"/>
    <s v="[Measures].[Sales Amount]"/>
    <s v="[Product].[Product Categories].[Product Name].&amp;[424]"/>
    <s v="[Product].[Product Categories].[Product Name].&amp;[423]"/>
    <s v="[Product].[Product Categories].[Product Name].&amp;[422]"/>
    <s v="[Product].[Product Categories].[Product Name].&amp;[421]"/>
    <s v="[Product].[Product Categories].[Product Name].&amp;[420]"/>
    <s v="[Product].[Product Categories].[Product Name].&amp;[419]"/>
    <s v="[Product].[Product Categories].[Product Name].&amp;[415]"/>
    <s v="[Product].[Product Categories].[Product Name].&amp;[414]"/>
    <s v="[Product].[Product Categories].[Product Name].&amp;[412]"/>
    <s v="[Product].[Product Categories].[Product Name].&amp;[411]"/>
    <s v="[Product].[Product Categories].[Product Name].&amp;[410]"/>
    <s v="[Product].[Product Categories].[Subcategory].&amp;[17]"/>
    <s v="[Product].[Product Categories].[Product Name].&amp;[510]"/>
    <s v="[Product].[Product Categories].[Product Name].&amp;[509]"/>
    <s v="[Product].[Product Categories].[Product Name].&amp;[507]"/>
    <s v="[Product].[Product Categories].[Product Name].&amp;[506]"/>
    <s v="[Product].[Product Categories].[Product Name].&amp;[505]"/>
    <s v="[Product].[Product Categories].[Product Name].&amp;[504]"/>
    <s v="[Product].[Product Categories].[Product Name].&amp;[503]"/>
    <s v="[Product].[Product Categories].[Product Name].&amp;[502]"/>
    <s v="[Product].[Product Categories].[Product Name].&amp;[500]"/>
    <s v="[Product].[Product Categories].[Product Name].&amp;[499]"/>
    <s v="[Product].[Product Categories].[Product Name].&amp;[498]"/>
    <s v="[Product].[Product Categories].[Product Name].&amp;[497]"/>
    <s v="[Product].[Product Categories].[Product Name].&amp;[496]"/>
    <s v="[Product].[Product Categories].[Product Name].&amp;[495]"/>
    <s v="[Product].[Product Categories].[Product Name].&amp;[494]"/>
    <s v="[Product].[Product Categories].[Product Name].&amp;[493]"/>
    <s v="[Product].[Product Categories].[Product Name].&amp;[492]"/>
    <s v="[Product].[Product Categories].[Subcategory].&amp;[16]"/>
    <s v="[Product].[Product Categories].[Product Name].&amp;[523]"/>
    <s v="[Product].[Product Categories].[Product Name].&amp;[522]"/>
    <s v="[Product].[Product Categories].[Product Name].&amp;[521]"/>
    <s v="[Product].[Product Categories].[Product Name].&amp;[520]"/>
    <s v="[Product].[Product Categories].[Product Name].&amp;[518]"/>
    <s v="[Product].[Product Categories].[Product Name].&amp;[517]"/>
    <s v="[Product].[Product Categories].[Product Name].&amp;[516]"/>
    <s v="[Product].[Product Categories].[Product Name].&amp;[515]"/>
    <s v="[Product].[Product Categories].[Subcategory].&amp;[15]"/>
    <s v="[Product].[Product Categories].[Product Name].&amp;[442]"/>
    <s v="[Product].[Product Categories].[Product Name].&amp;[441]"/>
    <s v="[Product].[Product Categories].[Product Name].&amp;[440]"/>
    <s v="[Product].[Product Categories].[Product Name].&amp;[439]"/>
    <s v="[Product].[Product Categories].[Product Name].&amp;[436]"/>
    <s v="[Product].[Product Categories].[Product Name].&amp;[435]"/>
    <s v="[Product].[Product Categories].[Product Name].&amp;[434]"/>
    <s v="[Product].[Product Categories].[Product Name].&amp;[433]"/>
    <s v="[Product].[Product Categories].[Product Name].&amp;[430]"/>
    <s v="[Product].[Product Categories].[Product Name].&amp;[429]"/>
    <s v="[Product].[Product Categories].[Product Name].&amp;[418]"/>
    <s v="[Product].[Product Categories].[Product Name].&amp;[417]"/>
    <s v="[Product].[Product Categories].[Product Name].&amp;[287]"/>
    <s v="[Product].[Product Categories].[Product Name].&amp;[286]"/>
    <s v="[Product].[Product Categories].[Product Name].&amp;[285]"/>
    <s v="[Product].[Product Categories].[Product Name].&amp;[281]"/>
    <s v="[Product].[Product Categories].[Product Name].&amp;[280]"/>
    <s v="[Product].[Product Categories].[Product Name].&amp;[279]"/>
    <s v="[Product].[Product Categories].[Product Name].&amp;[276]"/>
    <s v="[Product].[Product Categories].[Product Name].&amp;[275]"/>
    <s v="[Product].[Product Categories].[Product Name].&amp;[273]"/>
    <s v="[Product].[Product Categories].[Product Name].&amp;[272]"/>
    <s v="[Product].[Product Categories].[Product Name].&amp;[271]"/>
    <s v="[Product].[Product Categories].[Product Name].&amp;[270]"/>
    <s v="[Product].[Product Categories].[Product Name].&amp;[267]"/>
    <s v="[Product].[Product Categories].[Product Name].&amp;[266]"/>
    <s v="[Product].[Product Categories].[Product Name].&amp;[265]"/>
    <s v="[Product].[Product Categories].[Product Name].&amp;[264]"/>
    <s v="[Product].[Product Categories].[Product Name].&amp;[263]"/>
    <s v="[Product].[Product Categories].[Product Name].&amp;[262]"/>
    <s v="[Product].[Product Categories].[Product Name].&amp;[258]"/>
    <s v="[Product].[Product Categories].[Product Name].&amp;[257]"/>
    <s v="[Product].[Product Categories].[Product Name].&amp;[256]"/>
    <s v="[Product].[Product Categories].[Product Name].&amp;[255]"/>
    <s v="[Product].[Product Categories].[Product Name].&amp;[254]"/>
    <s v="[Product].[Product Categories].[Product Name].&amp;[253]"/>
    <s v="[Product].[Product Categories].[Product Name].&amp;[246]"/>
    <s v="[Product].[Product Categories].[Product Name].&amp;[245]"/>
    <s v="[Product].[Product Categories].[Product Name].&amp;[243]"/>
    <s v="[Product].[Product Categories].[Product Name].&amp;[242]"/>
    <s v="[Product].[Product Categories].[Product Name].&amp;[241]"/>
    <s v="[Product].[Product Categories].[Product Name].&amp;[240]"/>
    <s v="[Product].[Product Categories].[Product Name].&amp;[239]"/>
    <s v="[Product].[Product Categories].[Product Name].&amp;[238]"/>
    <s v="[Product].[Product Categories].[Subcategory].&amp;[14]"/>
    <s v="[Product].[Product Categories].[Product Name].&amp;[548]"/>
    <s v="[Product].[Product Categories].[Product Name].&amp;[547]"/>
    <s v="[Product].[Product Categories].[Product Name].&amp;[546]"/>
    <s v="[Product].[Product Categories].[Product Name].&amp;[545]"/>
    <s v="[Product].[Product Categories].[Product Name].&amp;[544]"/>
    <s v="[Product].[Product Categories].[Product Name].&amp;[543]"/>
    <s v="[Product].[Product Categories].[Product Name].&amp;[542]"/>
    <s v="[Product].[Product Categories].[Subcategory].&amp;[13]"/>
    <s v="[Product].[Product Categories].[Product Name].&amp;[551]"/>
    <s v="[Product].[Product Categories].[Product Name].&amp;[550]"/>
    <s v="[Product].[Product Categories].[Product Name].&amp;[549]"/>
    <s v="[Product].[Product Categories].[Product Name].&amp;[534]"/>
    <s v="[Product].[Product Categories].[Product Name].&amp;[533]"/>
    <s v="[Product].[Product Categories].[Product Name].&amp;[532]"/>
    <s v="[Product].[Product Categories].[Product Name].&amp;[531]"/>
    <s v="[Product].[Product Categories].[Product Name].&amp;[527]"/>
    <s v="[Product].[Product Categories].[Product Name].&amp;[526]"/>
    <s v="[Product].[Product Categories].[Product Name].&amp;[525]"/>
    <s v="[Product].[Product Categories].[Product Name].&amp;[524]"/>
    <s v="[Product].[Product Categories].[Product Name].&amp;[513]"/>
    <s v="[Product].[Product Categories].[Product Name].&amp;[512]"/>
    <s v="[Product].[Product Categories].[Product Name].&amp;[511]"/>
    <s v="[Product].[Product Categories].[Product Name].&amp;[428]"/>
    <s v="[Product].[Product Categories].[Product Name].&amp;[427]"/>
    <s v="[Product].[Product Categories].[Product Name].&amp;[426]"/>
    <s v="[Product].[Product Categories].[Product Name].&amp;[409]"/>
    <s v="[Product].[Product Categories].[Product Name].&amp;[309]"/>
    <s v="[Product].[Product Categories].[Product Name].&amp;[308]"/>
    <s v="[Product].[Product Categories].[Product Name].&amp;[307]"/>
    <s v="[Product].[Product Categories].[Product Name].&amp;[306]"/>
    <s v="[Product].[Product Categories].[Product Name].&amp;[305]"/>
    <s v="[Product].[Product Categories].[Product Name].&amp;[304]"/>
    <s v="[Product].[Product Categories].[Product Name].&amp;[300]"/>
    <s v="[Product].[Product Categories].[Product Name].&amp;[299]"/>
    <s v="[Product].[Product Categories].[Product Name].&amp;[298]"/>
    <s v="[Product].[Product Categories].[Product Name].&amp;[297]"/>
    <s v="[Product].[Product Categories].[Product Name].&amp;[296]"/>
    <s v="[Product].[Product Categories].[Product Name].&amp;[295]"/>
    <s v="[Product].[Product Categories].[Product Name].&amp;[294]"/>
    <s v="[Product].[Product Categories].[Product Name].&amp;[293]"/>
    <s v="[Product].[Product Categories].[Product Name].&amp;[292]"/>
    <s v="[Product].[Product Categories].[Product Name].&amp;[290]"/>
    <s v="[Product].[Product Categories].[Product Name].&amp;[289]"/>
    <s v="[Product].[Product Categories].[Product Name].&amp;[288]"/>
    <s v="[Product].[Product Categories].[Subcategory].&amp;[12]"/>
    <s v="[Product].[Product Categories].[Product Name].&amp;[396]"/>
    <s v="[Product].[Product Categories].[Product Name].&amp;[395]"/>
    <s v="[Product].[Product Categories].[Product Name].&amp;[394]"/>
    <s v="[Product].[Product Categories].[Subcategory].&amp;[11]"/>
    <s v="[Product].[Product Categories].[Product Name].&amp;[554]"/>
    <s v="[Product].[Product Categories].[Product Name].&amp;[553]"/>
    <s v="[Product].[Product Categories].[Product Name].&amp;[408]"/>
    <s v="[Product].[Product Categories].[Product Name].&amp;[407]"/>
    <s v="[Product].[Product Categories].[Product Name].&amp;[404]"/>
    <s v="[Product].[Product Categories].[Product Name].&amp;[403]"/>
    <s v="[Product].[Product Categories].[Product Name].&amp;[402]"/>
    <s v="[Product].[Product Categories].[Product Name].&amp;[401]"/>
    <s v="[Product].[Product Categories].[Product Name].&amp;[400]"/>
    <s v="[Product].[Product Categories].[Product Name].&amp;[399]"/>
    <s v="[Product].[Product Categories].[Product Name].&amp;[398]"/>
    <s v="[Product].[Product Categories].[Product Name].&amp;[397]"/>
    <s v="[Product].[Product Categories].[Subcategory].&amp;[4]"/>
    <s v="[Product].[Product Categories].[Product Name].&amp;[393]"/>
    <s v="[Product].[Product Categories].[Product Name].&amp;[391]"/>
    <s v="[Product].[Product Categories].[Subcategory].&amp;[10]"/>
    <s v="[Product].[Product Categories].[Product Name].&amp;[552]"/>
    <s v="[Product].[Product Categories].[Product Name].&amp;[501]"/>
    <s v="[Product].[Product Categories].[Subcategory].&amp;[9]"/>
    <s v="[Product].[Product Categories].[Product Name].&amp;[558]"/>
    <s v="[Product].[Product Categories].[Product Name].&amp;[557]"/>
    <s v="[Product].[Product Categories].[Product Name].&amp;[556]"/>
    <s v="[Product].[Product Categories].[Subcategory].&amp;[8]"/>
    <s v="[Product].[Product Categories].[Product Name].&amp;[559]"/>
    <s v="[Product].[Product Categories].[Subcategory].&amp;[7]"/>
    <s v="[Product].[Product Categories].[Product Name].&amp;[555]"/>
    <s v="[Product].[Product Categories].[Product Name].&amp;[514]"/>
    <s v="[Product].[Product Categories].[Subcategory].&amp;[6]"/>
    <s v="[Product].[Product Categories].[Product Name].&amp;[603]"/>
    <s v="[Product].[Product Categories].[Product Name].&amp;[601]"/>
    <s v="[Product].[Product Categories].[Subcategory].&amp;[5]"/>
    <s v="[Product].[Product Categories].[Category].&amp;[2]"/>
    <s v="[Product].[Product Categories].[Product Name].&amp;[473]"/>
    <s v="[Product].[Product Categories].[Product Name].&amp;[472]"/>
    <s v="[Product].[Product Categories].[Product Name].&amp;[471]"/>
    <s v="[Product].[Product Categories].[Subcategory].&amp;[25]"/>
    <s v="[Product].[Product Categories].[Product Name].&amp;[458]"/>
    <s v="[Product].[Product Categories].[Product Name].&amp;[457]"/>
    <s v="[Product].[Product Categories].[Product Name].&amp;[456]"/>
    <s v="[Product].[Product Categories].[Subcategory].&amp;[24]"/>
    <s v="[Product].[Product Categories].[Product Name].&amp;[482]"/>
    <s v="[Product].[Product Categories].[Product Name].&amp;[481]"/>
    <s v="[Product].[Product Categories].[Product Name].&amp;[219]"/>
    <s v="[Product].[Product Categories].[Product Name].&amp;[218]"/>
    <s v="[Product].[Product Categories].[Subcategory].&amp;[23]"/>
    <s v="[Product].[Product Categories].[Product Name].&amp;[476]"/>
    <s v="[Product].[Product Categories].[Product Name].&amp;[475]"/>
    <s v="[Product].[Product Categories].[Product Name].&amp;[474]"/>
    <s v="[Product].[Product Categories].[Product Name].&amp;[454]"/>
    <s v="[Product].[Product Categories].[Product Name].&amp;[453]"/>
    <s v="[Product].[Product Categories].[Product Name].&amp;[445]"/>
    <s v="[Product].[Product Categories].[Subcategory].&amp;[22]"/>
    <s v="[Product].[Product Categories].[Product Name].&amp;[491]"/>
    <s v="[Product].[Product Categories].[Product Name].&amp;[490]"/>
    <s v="[Product].[Product Categories].[Product Name].&amp;[489]"/>
    <s v="[Product].[Product Categories].[Product Name].&amp;[488]"/>
    <s v="[Product].[Product Categories].[Product Name].&amp;[237]"/>
    <s v="[Product].[Product Categories].[Product Name].&amp;[236]"/>
    <s v="[Product].[Product Categories].[Product Name].&amp;[235]"/>
    <s v="[Product].[Product Categories].[Product Name].&amp;[234]"/>
    <s v="[Product].[Product Categories].[Product Name].&amp;[233]"/>
    <s v="[Product].[Product Categories].[Product Name].&amp;[232]"/>
    <s v="[Product].[Product Categories].[Product Name].&amp;[231]"/>
    <s v="[Product].[Product Categories].[Product Name].&amp;[230]"/>
    <s v="[Product].[Product Categories].[Product Name].&amp;[229]"/>
    <s v="[Product].[Product Categories].[Product Name].&amp;[228]"/>
    <s v="[Product].[Product Categories].[Subcategory].&amp;[21]"/>
    <s v="[Product].[Product Categories].[Product Name].&amp;[470]"/>
    <s v="[Product].[Product Categories].[Product Name].&amp;[469]"/>
    <s v="[Product].[Product Categories].[Product Name].&amp;[468]"/>
    <s v="[Product].[Product Categories].[Product Name].&amp;[467]"/>
    <s v="[Product].[Product Categories].[Product Name].&amp;[466]"/>
    <s v="[Product].[Product Categories].[Product Name].&amp;[465]"/>
    <s v="[Product].[Product Categories].[Product Name].&amp;[464]"/>
    <s v="[Product].[Product Categories].[Product Name].&amp;[463]"/>
    <s v="[Product].[Product Categories].[Product Name].&amp;[462]"/>
    <s v="[Product].[Product Categories].[Subcategory].&amp;[20]"/>
    <s v="[Product].[Product Categories].[Product Name].&amp;[225]"/>
    <s v="[Product].[Product Categories].[Product Name].&amp;[224]"/>
    <s v="[Product].[Product Categories].[Product Name].&amp;[223]"/>
    <s v="[Product].[Product Categories].[Subcategory].&amp;[19]"/>
    <s v="[Product].[Product Categories].[Product Name].&amp;[461]"/>
    <s v="[Product].[Product Categories].[Product Name].&amp;[460]"/>
    <s v="[Product].[Product Categories].[Product Name].&amp;[459]"/>
    <s v="[Product].[Product Categories].[Subcategory].&amp;[18]"/>
    <s v="[Product].[Product Categories].[Category].&amp;[3]"/>
    <s v="[Product].[Product Categories].[Product Name].&amp;[586]"/>
    <s v="[Product].[Product Categories].[Product Name].&amp;[585]"/>
    <s v="[Product].[Product Categories].[Product Name].&amp;[579]"/>
    <s v="[Product].[Product Categories].[Product Name].&amp;[578]"/>
    <s v="[Product].[Product Categories].[Product Name].&amp;[577]"/>
    <s v="[Product].[Product Categories].[Product Name].&amp;[576]"/>
    <s v="[Product].[Product Categories].[Product Name].&amp;[575]"/>
    <s v="[Product].[Product Categories].[Product Name].&amp;[574]"/>
    <s v="[Product].[Product Categories].[Product Name].&amp;[573]"/>
    <s v="[Product].[Product Categories].[Product Name].&amp;[572]"/>
    <s v="[Product].[Product Categories].[Product Name].&amp;[571]"/>
    <s v="[Product].[Product Categories].[Product Name].&amp;[570]"/>
    <s v="[Product].[Product Categories].[Product Name].&amp;[569]"/>
    <s v="[Product].[Product Categories].[Product Name].&amp;[568]"/>
    <s v="[Product].[Product Categories].[Product Name].&amp;[567]"/>
    <s v="[Product].[Product Categories].[Product Name].&amp;[566]"/>
    <s v="[Product].[Product Categories].[Product Name].&amp;[565]"/>
    <s v="[Product].[Product Categories].[Product Name].&amp;[564]"/>
    <s v="[Product].[Product Categories].[Product Name].&amp;[563]"/>
    <s v="[Product].[Product Categories].[Product Name].&amp;[562]"/>
    <s v="[Product].[Product Categories].[Product Name].&amp;[561]"/>
    <s v="[Product].[Product Categories].[Product Name].&amp;[560]"/>
    <s v="[Product].[Product Categories].[Subcategory].&amp;[3]"/>
    <s v="[Product].[Product Categories].[Product Name].&amp;[606]"/>
    <s v="[Product].[Product Categories].[Product Name].&amp;[605]"/>
    <s v="[Product].[Product Categories].[Product Name].&amp;[604]"/>
    <s v="[Product].[Product Categories].[Product Name].&amp;[584]"/>
    <s v="[Product].[Product Categories].[Product Name].&amp;[583]"/>
    <s v="[Product].[Product Categories].[Product Name].&amp;[582]"/>
    <s v="[Product].[Product Categories].[Product Name].&amp;[581]"/>
    <s v="[Product].[Product Categories].[Product Name].&amp;[580]"/>
    <s v="[Product].[Product Categories].[Product Name].&amp;[390]"/>
    <s v="[Product].[Product Categories].[Product Name].&amp;[389]"/>
    <s v="[Product].[Product Categories].[Product Name].&amp;[388]"/>
    <s v="[Product].[Product Categories].[Product Name].&amp;[387]"/>
    <s v="[Product].[Product Categories].[Product Name].&amp;[386]"/>
    <s v="[Product].[Product Categories].[Product Name].&amp;[385]"/>
    <s v="[Product].[Product Categories].[Product Name].&amp;[384]"/>
    <s v="[Product].[Product Categories].[Product Name].&amp;[383]"/>
    <s v="[Product].[Product Categories].[Product Name].&amp;[382]"/>
    <s v="[Product].[Product Categories].[Product Name].&amp;[381]"/>
    <s v="[Product].[Product Categories].[Product Name].&amp;[380]"/>
    <s v="[Product].[Product Categories].[Product Name].&amp;[379]"/>
    <s v="[Product].[Product Categories].[Product Name].&amp;[378]"/>
    <s v="[Product].[Product Categories].[Product Name].&amp;[377]"/>
    <s v="[Product].[Product Categories].[Product Name].&amp;[376]"/>
    <s v="[Product].[Product Categories].[Product Name].&amp;[375]"/>
    <s v="[Product].[Product Categories].[Product Name].&amp;[374]"/>
    <s v="[Product].[Product Categories].[Product Name].&amp;[373]"/>
    <s v="[Product].[Product Categories].[Product Name].&amp;[372]"/>
    <s v="[Product].[Product Categories].[Product Name].&amp;[371]"/>
    <s v="[Product].[Product Categories].[Product Name].&amp;[370]"/>
    <s v="[Product].[Product Categories].[Product Name].&amp;[369]"/>
    <s v="[Product].[Product Categories].[Product Name].&amp;[368]"/>
    <s v="[Product].[Product Categories].[Product Name].&amp;[343]"/>
    <s v="[Product].[Product Categories].[Product Name].&amp;[342]"/>
    <s v="[Product].[Product Categories].[Product Name].&amp;[341]"/>
    <s v="[Product].[Product Categories].[Product Name].&amp;[340]"/>
    <s v="[Product].[Product Categories].[Product Name].&amp;[339]"/>
    <s v="[Product].[Product Categories].[Product Name].&amp;[338]"/>
    <s v="[Product].[Product Categories].[Product Name].&amp;[337]"/>
    <s v="[Product].[Product Categories].[Product Name].&amp;[336]"/>
    <s v="[Product].[Product Categories].[Product Name].&amp;[335]"/>
    <s v="[Product].[Product Categories].[Product Name].&amp;[334]"/>
    <s v="[Product].[Product Categories].[Product Name].&amp;[333]"/>
    <s v="[Product].[Product Categories].[Product Name].&amp;[332]"/>
    <s v="[Product].[Product Categories].[Product Name].&amp;[331]"/>
    <s v="[Product].[Product Categories].[Product Name].&amp;[330]"/>
    <s v="[Product].[Product Categories].[Product Name].&amp;[329]"/>
    <s v="[Product].[Product Categories].[Product Name].&amp;[328]"/>
    <s v="[Product].[Product Categories].[Product Name].&amp;[327]"/>
    <s v="[Product].[Product Categories].[Product Name].&amp;[326]"/>
    <s v="[Product].[Product Categories].[Product Name].&amp;[325]"/>
    <s v="[Product].[Product Categories].[Product Name].&amp;[324]"/>
    <s v="[Product].[Product Categories].[Product Name].&amp;[323]"/>
    <s v="[Product].[Product Categories].[Product Name].&amp;[322]"/>
    <s v="[Product].[Product Categories].[Product Name].&amp;[321]"/>
    <s v="[Product].[Product Categories].[Product Name].&amp;[320]"/>
    <s v="[Product].[Product Categories].[Product Name].&amp;[319]"/>
    <s v="[Product].[Product Categories].[Product Name].&amp;[318]"/>
    <s v="[Product].[Product Categories].[Product Name].&amp;[317]"/>
    <s v="[Product].[Product Categories].[Product Name].&amp;[316]"/>
    <s v="[Product].[Product Categories].[Product Name].&amp;[315]"/>
    <s v="[Product].[Product Categories].[Product Name].&amp;[314]"/>
    <s v="[Product].[Product Categories].[Product Name].&amp;[313]"/>
    <s v="[Product].[Product Categories].[Product Name].&amp;[312]"/>
    <s v="[Product].[Product Categories].[Product Name].&amp;[311]"/>
    <s v="[Product].[Product Categories].[Product Name].&amp;[310]"/>
    <s v="[Product].[Product Categories].[Subcategory].&amp;[2]"/>
    <s v="[Product].[Product Categories].[Product Name].&amp;[600]"/>
    <s v="[Product].[Product Categories].[Product Name].&amp;[599]"/>
    <s v="[Product].[Product Categories].[Product Name].&amp;[598]"/>
    <s v="[Product].[Product Categories].[Product Name].&amp;[597]"/>
    <s v="[Product].[Product Categories].[Product Name].&amp;[596]"/>
    <s v="[Product].[Product Categories].[Product Name].&amp;[595]"/>
    <s v="[Product].[Product Categories].[Product Name].&amp;[594]"/>
    <s v="[Product].[Product Categories].[Product Name].&amp;[593]"/>
    <s v="[Product].[Product Categories].[Product Name].&amp;[592]"/>
    <s v="[Product].[Product Categories].[Product Name].&amp;[591]"/>
    <s v="[Product].[Product Categories].[Product Name].&amp;[590]"/>
    <s v="[Product].[Product Categories].[Product Name].&amp;[589]"/>
    <s v="[Product].[Product Categories].[Product Name].&amp;[588]"/>
    <s v="[Product].[Product Categories].[Product Name].&amp;[587]"/>
    <s v="[Product].[Product Categories].[Product Name].&amp;[367]"/>
    <s v="[Product].[Product Categories].[Product Name].&amp;[366]"/>
    <s v="[Product].[Product Categories].[Product Name].&amp;[365]"/>
    <s v="[Product].[Product Categories].[Product Name].&amp;[364]"/>
    <s v="[Product].[Product Categories].[Product Name].&amp;[363]"/>
    <s v="[Product].[Product Categories].[Product Name].&amp;[362]"/>
    <s v="[Product].[Product Categories].[Product Name].&amp;[361]"/>
    <s v="[Product].[Product Categories].[Product Name].&amp;[360]"/>
    <s v="[Product].[Product Categories].[Product Name].&amp;[359]"/>
    <s v="[Product].[Product Categories].[Product Name].&amp;[358]"/>
    <s v="[Product].[Product Categories].[Product Name].&amp;[357]"/>
    <s v="[Product].[Product Categories].[Product Name].&amp;[356]"/>
    <s v="[Product].[Product Categories].[Product Name].&amp;[355]"/>
    <s v="[Product].[Product Categories].[Product Name].&amp;[354]"/>
    <s v="[Product].[Product Categories].[Product Name].&amp;[353]"/>
    <s v="[Product].[Product Categories].[Product Name].&amp;[352]"/>
    <s v="[Product].[Product Categories].[Product Name].&amp;[351]"/>
    <s v="[Product].[Product Categories].[Product Name].&amp;[350]"/>
    <s v="[Product].[Product Categories].[Product Name].&amp;[349]"/>
    <s v="[Product].[Product Categories].[Product Name].&amp;[348]"/>
    <s v="[Product].[Product Categories].[Product Name].&amp;[347]"/>
    <s v="[Product].[Product Categories].[Product Name].&amp;[346]"/>
    <s v="[Product].[Product Categories].[Product Name].&amp;[345]"/>
    <s v="[Product].[Product Categories].[Product Name].&amp;[344]"/>
    <s v="[Product].[Product Categories].[Subcategory].&amp;[1]"/>
    <s v="[Product].[Product Categories].[Category].&amp;[1]"/>
    <s v="[Product].[Product Categories].[Product Name].&amp;[541]"/>
    <s v="[Product].[Product Categories].[Product Name].&amp;[540]"/>
    <s v="[Product].[Product Categories].[Product Name].&amp;[539]"/>
    <s v="[Product].[Product Categories].[Product Name].&amp;[538]"/>
    <s v="[Product].[Product Categories].[Product Name].&amp;[537]"/>
    <s v="[Product].[Product Categories].[Product Name].&amp;[536]"/>
    <s v="[Product].[Product Categories].[Product Name].&amp;[535]"/>
    <s v="[Product].[Product Categories].[Product Name].&amp;[530]"/>
    <s v="[Product].[Product Categories].[Product Name].&amp;[529]"/>
    <s v="[Product].[Product Categories].[Product Name].&amp;[528]"/>
    <s v="[Product].[Product Categories].[Product Name].&amp;[480]"/>
    <s v="[Product].[Product Categories].[Subcategory].&amp;[37]"/>
    <s v="[Product].[Product Categories].[Product Name].&amp;[448]"/>
    <s v="[Product].[Product Categories].[Subcategory].&amp;[36]"/>
    <s v="[Product].[Product Categories].[Product Name].&amp;[447]"/>
    <s v="[Product].[Product Categories].[Subcategory].&amp;[34]"/>
    <s v="[Product].[Product Categories].[Product Name].&amp;[487]"/>
    <s v="[Product].[Product Categories].[Subcategory].&amp;[32]"/>
    <s v="[Product].[Product Categories].[Product Name].&amp;[222]"/>
    <s v="[Product].[Product Categories].[Product Name].&amp;[221]"/>
    <s v="[Product].[Product Categories].[Product Name].&amp;[220]"/>
    <s v="[Product].[Product Categories].[Product Name].&amp;[217]"/>
    <s v="[Product].[Product Categories].[Product Name].&amp;[216]"/>
    <s v="[Product].[Product Categories].[Product Name].&amp;[215]"/>
    <s v="[Product].[Product Categories].[Product Name].&amp;[214]"/>
    <s v="[Product].[Product Categories].[Product Name].&amp;[213]"/>
    <s v="[Product].[Product Categories].[Product Name].&amp;[212]"/>
    <s v="[Product].[Product Categories].[Subcategory].&amp;[31]"/>
    <s v="[Product].[Product Categories].[Product Name].&amp;[485]"/>
    <s v="[Product].[Product Categories].[Subcategory].&amp;[30]"/>
    <s v="[Product].[Product Categories].[Product Name].&amp;[484]"/>
    <s v="[Product].[Product Categories].[Subcategory].&amp;[29]"/>
    <s v="[Product].[Product Categories].[Product Name].&amp;[479]"/>
    <s v="[Product].[Product Categories].[Product Name].&amp;[478]"/>
    <s v="[Product].[Product Categories].[Product Name].&amp;[477]"/>
    <s v="[Product].[Product Categories].[Subcategory].&amp;[28]"/>
    <s v="[Product].[Product Categories].[Product Name].&amp;[486]"/>
    <s v="[Product].[Product Categories].[Subcategory].&amp;[27]"/>
    <s v="[Product].[Product Categories].[Product Name].&amp;[483]"/>
    <s v="[Product].[Product Categories].[Subcategory].&amp;[26]"/>
    <s v="[Product].[Product Categories].[Category].&amp;[4]"/>
  </metadataStrings>
  <mdxMetadata count="780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36"/>
      </t>
    </mdx>
    <mdx n="0" f="m">
      <t c="1">
        <n x="37"/>
      </t>
    </mdx>
    <mdx n="0" f="m">
      <t c="1">
        <n x="38"/>
      </t>
    </mdx>
    <mdx n="0" f="m">
      <t c="1">
        <n x="39"/>
      </t>
    </mdx>
    <mdx n="0" f="m">
      <t c="1">
        <n x="40"/>
      </t>
    </mdx>
    <mdx n="0" f="m">
      <t c="1">
        <n x="41"/>
      </t>
    </mdx>
    <mdx n="0" f="m">
      <t c="1">
        <n x="42"/>
      </t>
    </mdx>
    <mdx n="0" f="m">
      <t c="1">
        <n x="43"/>
      </t>
    </mdx>
    <mdx n="0" f="m">
      <t c="1">
        <n x="44"/>
      </t>
    </mdx>
    <mdx n="0" f="m">
      <t c="1">
        <n x="45"/>
      </t>
    </mdx>
    <mdx n="0" f="m">
      <t c="1">
        <n x="46"/>
      </t>
    </mdx>
    <mdx n="0" f="m">
      <t c="1">
        <n x="47"/>
      </t>
    </mdx>
    <mdx n="0" f="m">
      <t c="1">
        <n x="48"/>
      </t>
    </mdx>
    <mdx n="0" f="m">
      <t c="1">
        <n x="49"/>
      </t>
    </mdx>
    <mdx n="0" f="m">
      <t c="1">
        <n x="50"/>
      </t>
    </mdx>
    <mdx n="0" f="m">
      <t c="1">
        <n x="51"/>
      </t>
    </mdx>
    <mdx n="0" f="m">
      <t c="1">
        <n x="52"/>
      </t>
    </mdx>
    <mdx n="0" f="m">
      <t c="1">
        <n x="53"/>
      </t>
    </mdx>
    <mdx n="0" f="m">
      <t c="1">
        <n x="54"/>
      </t>
    </mdx>
    <mdx n="0" f="m">
      <t c="1">
        <n x="55"/>
      </t>
    </mdx>
    <mdx n="0" f="m">
      <t c="1">
        <n x="56"/>
      </t>
    </mdx>
    <mdx n="0" f="m">
      <t c="1">
        <n x="57"/>
      </t>
    </mdx>
    <mdx n="0" f="m">
      <t c="1">
        <n x="58"/>
      </t>
    </mdx>
    <mdx n="0" f="m">
      <t c="1">
        <n x="59"/>
      </t>
    </mdx>
    <mdx n="0" f="m">
      <t c="1">
        <n x="60"/>
      </t>
    </mdx>
    <mdx n="0" f="m">
      <t c="1">
        <n x="61"/>
      </t>
    </mdx>
    <mdx n="0" f="m">
      <t c="1">
        <n x="62"/>
      </t>
    </mdx>
    <mdx n="0" f="m">
      <t c="1">
        <n x="63"/>
      </t>
    </mdx>
    <mdx n="0" f="m">
      <t c="1">
        <n x="64"/>
      </t>
    </mdx>
    <mdx n="0" f="m">
      <t c="1">
        <n x="65"/>
      </t>
    </mdx>
    <mdx n="0" f="m">
      <t c="1">
        <n x="66"/>
      </t>
    </mdx>
    <mdx n="0" f="m">
      <t c="1">
        <n x="67"/>
      </t>
    </mdx>
    <mdx n="0" f="m">
      <t c="1">
        <n x="68"/>
      </t>
    </mdx>
    <mdx n="0" f="m">
      <t c="1">
        <n x="69"/>
      </t>
    </mdx>
    <mdx n="0" f="m">
      <t c="1">
        <n x="70"/>
      </t>
    </mdx>
    <mdx n="0" f="m">
      <t c="1">
        <n x="71"/>
      </t>
    </mdx>
    <mdx n="0" f="m">
      <t c="1">
        <n x="72"/>
      </t>
    </mdx>
    <mdx n="0" f="m">
      <t c="1">
        <n x="73"/>
      </t>
    </mdx>
    <mdx n="0" f="m">
      <t c="1">
        <n x="74"/>
      </t>
    </mdx>
    <mdx n="0" f="m">
      <t c="1">
        <n x="75"/>
      </t>
    </mdx>
    <mdx n="0" f="m">
      <t c="1">
        <n x="76"/>
      </t>
    </mdx>
    <mdx n="0" f="m">
      <t c="1">
        <n x="77"/>
      </t>
    </mdx>
    <mdx n="0" f="m">
      <t c="1">
        <n x="78"/>
      </t>
    </mdx>
    <mdx n="0" f="m">
      <t c="1">
        <n x="79"/>
      </t>
    </mdx>
    <mdx n="0" f="m">
      <t c="1">
        <n x="80"/>
      </t>
    </mdx>
    <mdx n="0" f="m">
      <t c="1">
        <n x="81"/>
      </t>
    </mdx>
    <mdx n="0" f="m">
      <t c="1">
        <n x="82"/>
      </t>
    </mdx>
    <mdx n="0" f="m">
      <t c="1">
        <n x="83"/>
      </t>
    </mdx>
    <mdx n="0" f="m">
      <t c="1">
        <n x="84"/>
      </t>
    </mdx>
    <mdx n="0" f="m">
      <t c="1">
        <n x="85"/>
      </t>
    </mdx>
    <mdx n="0" f="m">
      <t c="1">
        <n x="86"/>
      </t>
    </mdx>
    <mdx n="0" f="m">
      <t c="1">
        <n x="87"/>
      </t>
    </mdx>
    <mdx n="0" f="m">
      <t c="1">
        <n x="88"/>
      </t>
    </mdx>
    <mdx n="0" f="m">
      <t c="1">
        <n x="89"/>
      </t>
    </mdx>
    <mdx n="0" f="m">
      <t c="1">
        <n x="90"/>
      </t>
    </mdx>
    <mdx n="0" f="m">
      <t c="1">
        <n x="91"/>
      </t>
    </mdx>
    <mdx n="0" f="m">
      <t c="1">
        <n x="92"/>
      </t>
    </mdx>
    <mdx n="0" f="m">
      <t c="1">
        <n x="93"/>
      </t>
    </mdx>
    <mdx n="0" f="m">
      <t c="1">
        <n x="94"/>
      </t>
    </mdx>
    <mdx n="0" f="m">
      <t c="1">
        <n x="95"/>
      </t>
    </mdx>
    <mdx n="0" f="m">
      <t c="1">
        <n x="96"/>
      </t>
    </mdx>
    <mdx n="0" f="m">
      <t c="1">
        <n x="97"/>
      </t>
    </mdx>
    <mdx n="0" f="m">
      <t c="1">
        <n x="98"/>
      </t>
    </mdx>
    <mdx n="0" f="m">
      <t c="1">
        <n x="99"/>
      </t>
    </mdx>
    <mdx n="0" f="m">
      <t c="1">
        <n x="100"/>
      </t>
    </mdx>
    <mdx n="0" f="m">
      <t c="1">
        <n x="101"/>
      </t>
    </mdx>
    <mdx n="0" f="m">
      <t c="1">
        <n x="102"/>
      </t>
    </mdx>
    <mdx n="0" f="m">
      <t c="1">
        <n x="103"/>
      </t>
    </mdx>
    <mdx n="0" f="m">
      <t c="1">
        <n x="104"/>
      </t>
    </mdx>
    <mdx n="0" f="m">
      <t c="1">
        <n x="105"/>
      </t>
    </mdx>
    <mdx n="0" f="m">
      <t c="1">
        <n x="106"/>
      </t>
    </mdx>
    <mdx n="0" f="m">
      <t c="1">
        <n x="107"/>
      </t>
    </mdx>
    <mdx n="0" f="m">
      <t c="1">
        <n x="108"/>
      </t>
    </mdx>
    <mdx n="0" f="m">
      <t c="1">
        <n x="109"/>
      </t>
    </mdx>
    <mdx n="0" f="m">
      <t c="1">
        <n x="110"/>
      </t>
    </mdx>
    <mdx n="0" f="m">
      <t c="1">
        <n x="111"/>
      </t>
    </mdx>
    <mdx n="0" f="m">
      <t c="1">
        <n x="112"/>
      </t>
    </mdx>
    <mdx n="0" f="m">
      <t c="1">
        <n x="113"/>
      </t>
    </mdx>
    <mdx n="0" f="m">
      <t c="1">
        <n x="114"/>
      </t>
    </mdx>
    <mdx n="0" f="m">
      <t c="1">
        <n x="115"/>
      </t>
    </mdx>
    <mdx n="0" f="m">
      <t c="1">
        <n x="116"/>
      </t>
    </mdx>
    <mdx n="0" f="m">
      <t c="1">
        <n x="117"/>
      </t>
    </mdx>
    <mdx n="0" f="m">
      <t c="1">
        <n x="118"/>
      </t>
    </mdx>
    <mdx n="0" f="m">
      <t c="1">
        <n x="119"/>
      </t>
    </mdx>
    <mdx n="0" f="m">
      <t c="1">
        <n x="120"/>
      </t>
    </mdx>
    <mdx n="0" f="m">
      <t c="1">
        <n x="121"/>
      </t>
    </mdx>
    <mdx n="0" f="m">
      <t c="1">
        <n x="122"/>
      </t>
    </mdx>
    <mdx n="0" f="m">
      <t c="1">
        <n x="123"/>
      </t>
    </mdx>
    <mdx n="0" f="m">
      <t c="1">
        <n x="124"/>
      </t>
    </mdx>
    <mdx n="0" f="m">
      <t c="1">
        <n x="125"/>
      </t>
    </mdx>
    <mdx n="0" f="m">
      <t c="1">
        <n x="126"/>
      </t>
    </mdx>
    <mdx n="0" f="m">
      <t c="1">
        <n x="127"/>
      </t>
    </mdx>
    <mdx n="0" f="m">
      <t c="1">
        <n x="128"/>
      </t>
    </mdx>
    <mdx n="0" f="m">
      <t c="1">
        <n x="129"/>
      </t>
    </mdx>
    <mdx n="0" f="m">
      <t c="1">
        <n x="130"/>
      </t>
    </mdx>
    <mdx n="0" f="m">
      <t c="1">
        <n x="131"/>
      </t>
    </mdx>
    <mdx n="0" f="m">
      <t c="1">
        <n x="132"/>
      </t>
    </mdx>
    <mdx n="0" f="m">
      <t c="1">
        <n x="133"/>
      </t>
    </mdx>
    <mdx n="0" f="m">
      <t c="1">
        <n x="134"/>
      </t>
    </mdx>
    <mdx n="0" f="m">
      <t c="1">
        <n x="135"/>
      </t>
    </mdx>
    <mdx n="0" f="m">
      <t c="1">
        <n x="136"/>
      </t>
    </mdx>
    <mdx n="0" f="m">
      <t c="1">
        <n x="137"/>
      </t>
    </mdx>
    <mdx n="0" f="m">
      <t c="1">
        <n x="138"/>
      </t>
    </mdx>
    <mdx n="0" f="m">
      <t c="1">
        <n x="139"/>
      </t>
    </mdx>
    <mdx n="0" f="m">
      <t c="1">
        <n x="140"/>
      </t>
    </mdx>
    <mdx n="0" f="m">
      <t c="1">
        <n x="141"/>
      </t>
    </mdx>
    <mdx n="0" f="m">
      <t c="1">
        <n x="142"/>
      </t>
    </mdx>
    <mdx n="0" f="m">
      <t c="1">
        <n x="143"/>
      </t>
    </mdx>
    <mdx n="0" f="m">
      <t c="1">
        <n x="144"/>
      </t>
    </mdx>
    <mdx n="0" f="m">
      <t c="1">
        <n x="145"/>
      </t>
    </mdx>
    <mdx n="0" f="m">
      <t c="1">
        <n x="146"/>
      </t>
    </mdx>
    <mdx n="0" f="m">
      <t c="1">
        <n x="147"/>
      </t>
    </mdx>
    <mdx n="0" f="m">
      <t c="1">
        <n x="148"/>
      </t>
    </mdx>
    <mdx n="0" f="m">
      <t c="1">
        <n x="149"/>
      </t>
    </mdx>
    <mdx n="0" f="m">
      <t c="1">
        <n x="150"/>
      </t>
    </mdx>
    <mdx n="0" f="m">
      <t c="1">
        <n x="151"/>
      </t>
    </mdx>
    <mdx n="0" f="m">
      <t c="1">
        <n x="152"/>
      </t>
    </mdx>
    <mdx n="0" f="m">
      <t c="1">
        <n x="153"/>
      </t>
    </mdx>
    <mdx n="0" f="m">
      <t c="1">
        <n x="154"/>
      </t>
    </mdx>
    <mdx n="0" f="m">
      <t c="1">
        <n x="155"/>
      </t>
    </mdx>
    <mdx n="0" f="m">
      <t c="1">
        <n x="156"/>
      </t>
    </mdx>
    <mdx n="0" f="m">
      <t c="1">
        <n x="157"/>
      </t>
    </mdx>
    <mdx n="0" f="m">
      <t c="1">
        <n x="158"/>
      </t>
    </mdx>
    <mdx n="0" f="m">
      <t c="1">
        <n x="159"/>
      </t>
    </mdx>
    <mdx n="0" f="m">
      <t c="1">
        <n x="160"/>
      </t>
    </mdx>
    <mdx n="0" f="m">
      <t c="1">
        <n x="161"/>
      </t>
    </mdx>
    <mdx n="0" f="m">
      <t c="1">
        <n x="162"/>
      </t>
    </mdx>
    <mdx n="0" f="m">
      <t c="1">
        <n x="163"/>
      </t>
    </mdx>
    <mdx n="0" f="m">
      <t c="1">
        <n x="164"/>
      </t>
    </mdx>
    <mdx n="0" f="m">
      <t c="1">
        <n x="165"/>
      </t>
    </mdx>
    <mdx n="0" f="m">
      <t c="1">
        <n x="166"/>
      </t>
    </mdx>
    <mdx n="0" f="m">
      <t c="1">
        <n x="167"/>
      </t>
    </mdx>
    <mdx n="0" f="m">
      <t c="1">
        <n x="168"/>
      </t>
    </mdx>
    <mdx n="0" f="m">
      <t c="1">
        <n x="169"/>
      </t>
    </mdx>
    <mdx n="0" f="m">
      <t c="1">
        <n x="170"/>
      </t>
    </mdx>
    <mdx n="0" f="m">
      <t c="1">
        <n x="171"/>
      </t>
    </mdx>
    <mdx n="0" f="m">
      <t c="1">
        <n x="172"/>
      </t>
    </mdx>
    <mdx n="0" f="m">
      <t c="1">
        <n x="173"/>
      </t>
    </mdx>
    <mdx n="0" f="m">
      <t c="1">
        <n x="174"/>
      </t>
    </mdx>
    <mdx n="0" f="m">
      <t c="1">
        <n x="175"/>
      </t>
    </mdx>
    <mdx n="0" f="m">
      <t c="1">
        <n x="176"/>
      </t>
    </mdx>
    <mdx n="0" f="m">
      <t c="1">
        <n x="177"/>
      </t>
    </mdx>
    <mdx n="0" f="m">
      <t c="1">
        <n x="178"/>
      </t>
    </mdx>
    <mdx n="0" f="m">
      <t c="1">
        <n x="179"/>
      </t>
    </mdx>
    <mdx n="0" f="m">
      <t c="1">
        <n x="180"/>
      </t>
    </mdx>
    <mdx n="0" f="m">
      <t c="1">
        <n x="181"/>
      </t>
    </mdx>
    <mdx n="0" f="m">
      <t c="1">
        <n x="182"/>
      </t>
    </mdx>
    <mdx n="0" f="m">
      <t c="1">
        <n x="183"/>
      </t>
    </mdx>
    <mdx n="0" f="m">
      <t c="1">
        <n x="184"/>
      </t>
    </mdx>
    <mdx n="0" f="m">
      <t c="1">
        <n x="185"/>
      </t>
    </mdx>
    <mdx n="0" f="m">
      <t c="1">
        <n x="186"/>
      </t>
    </mdx>
    <mdx n="0" f="m">
      <t c="1">
        <n x="187"/>
      </t>
    </mdx>
    <mdx n="0" f="m">
      <t c="1">
        <n x="188"/>
      </t>
    </mdx>
    <mdx n="0" f="m">
      <t c="1">
        <n x="189"/>
      </t>
    </mdx>
    <mdx n="0" f="m">
      <t c="1">
        <n x="190"/>
      </t>
    </mdx>
    <mdx n="0" f="m">
      <t c="1">
        <n x="191"/>
      </t>
    </mdx>
    <mdx n="0" f="m">
      <t c="1">
        <n x="192"/>
      </t>
    </mdx>
    <mdx n="0" f="m">
      <t c="1">
        <n x="193"/>
      </t>
    </mdx>
    <mdx n="0" f="m">
      <t c="1">
        <n x="194"/>
      </t>
    </mdx>
    <mdx n="0" f="m">
      <t c="1">
        <n x="195"/>
      </t>
    </mdx>
    <mdx n="0" f="m">
      <t c="1">
        <n x="196"/>
      </t>
    </mdx>
    <mdx n="0" f="m">
      <t c="1">
        <n x="197"/>
      </t>
    </mdx>
    <mdx n="0" f="m">
      <t c="1">
        <n x="198"/>
      </t>
    </mdx>
    <mdx n="0" f="m">
      <t c="1">
        <n x="199"/>
      </t>
    </mdx>
    <mdx n="0" f="m">
      <t c="1">
        <n x="200"/>
      </t>
    </mdx>
    <mdx n="0" f="m">
      <t c="1">
        <n x="201"/>
      </t>
    </mdx>
    <mdx n="0" f="m">
      <t c="1">
        <n x="202"/>
      </t>
    </mdx>
    <mdx n="0" f="m">
      <t c="1">
        <n x="203"/>
      </t>
    </mdx>
    <mdx n="0" f="m">
      <t c="1">
        <n x="204"/>
      </t>
    </mdx>
    <mdx n="0" f="m">
      <t c="1">
        <n x="205"/>
      </t>
    </mdx>
    <mdx n="0" f="m">
      <t c="1">
        <n x="206"/>
      </t>
    </mdx>
    <mdx n="0" f="m">
      <t c="1">
        <n x="207"/>
      </t>
    </mdx>
    <mdx n="0" f="m">
      <t c="1">
        <n x="208"/>
      </t>
    </mdx>
    <mdx n="0" f="m">
      <t c="1">
        <n x="209"/>
      </t>
    </mdx>
    <mdx n="0" f="m">
      <t c="1">
        <n x="210"/>
      </t>
    </mdx>
    <mdx n="0" f="m">
      <t c="1">
        <n x="211"/>
      </t>
    </mdx>
    <mdx n="0" f="m">
      <t c="1">
        <n x="212"/>
      </t>
    </mdx>
    <mdx n="0" f="m">
      <t c="1">
        <n x="213"/>
      </t>
    </mdx>
    <mdx n="0" f="m">
      <t c="1">
        <n x="214"/>
      </t>
    </mdx>
    <mdx n="0" f="m">
      <t c="1">
        <n x="215"/>
      </t>
    </mdx>
    <mdx n="0" f="m">
      <t c="1">
        <n x="216"/>
      </t>
    </mdx>
    <mdx n="0" f="m">
      <t c="1">
        <n x="217"/>
      </t>
    </mdx>
    <mdx n="0" f="m">
      <t c="1">
        <n x="218"/>
      </t>
    </mdx>
    <mdx n="0" f="m">
      <t c="1">
        <n x="219"/>
      </t>
    </mdx>
    <mdx n="0" f="m">
      <t c="1">
        <n x="220"/>
      </t>
    </mdx>
    <mdx n="0" f="m">
      <t c="1">
        <n x="221"/>
      </t>
    </mdx>
    <mdx n="0" f="m">
      <t c="1">
        <n x="222"/>
      </t>
    </mdx>
    <mdx n="0" f="m">
      <t c="1">
        <n x="223"/>
      </t>
    </mdx>
    <mdx n="0" f="m">
      <t c="1">
        <n x="224"/>
      </t>
    </mdx>
    <mdx n="0" f="m">
      <t c="1">
        <n x="225"/>
      </t>
    </mdx>
    <mdx n="0" f="m">
      <t c="1">
        <n x="226"/>
      </t>
    </mdx>
    <mdx n="0" f="m">
      <t c="1">
        <n x="227"/>
      </t>
    </mdx>
    <mdx n="0" f="m">
      <t c="1">
        <n x="228"/>
      </t>
    </mdx>
    <mdx n="0" f="m">
      <t c="1">
        <n x="229"/>
      </t>
    </mdx>
    <mdx n="0" f="m">
      <t c="1">
        <n x="230"/>
      </t>
    </mdx>
    <mdx n="0" f="m">
      <t c="1">
        <n x="231"/>
      </t>
    </mdx>
    <mdx n="0" f="m">
      <t c="1">
        <n x="232"/>
      </t>
    </mdx>
    <mdx n="0" f="m">
      <t c="1">
        <n x="233"/>
      </t>
    </mdx>
    <mdx n="0" f="m">
      <t c="1">
        <n x="234"/>
      </t>
    </mdx>
    <mdx n="0" f="m">
      <t c="1">
        <n x="235"/>
      </t>
    </mdx>
    <mdx n="0" f="m">
      <t c="1">
        <n x="236"/>
      </t>
    </mdx>
    <mdx n="0" f="m">
      <t c="1">
        <n x="237"/>
      </t>
    </mdx>
    <mdx n="0" f="m">
      <t c="1">
        <n x="238"/>
      </t>
    </mdx>
    <mdx n="0" f="m">
      <t c="1">
        <n x="239"/>
      </t>
    </mdx>
    <mdx n="0" f="m">
      <t c="1">
        <n x="240"/>
      </t>
    </mdx>
    <mdx n="0" f="m">
      <t c="1">
        <n x="241"/>
      </t>
    </mdx>
    <mdx n="0" f="m">
      <t c="1">
        <n x="242"/>
      </t>
    </mdx>
    <mdx n="0" f="m">
      <t c="1">
        <n x="243"/>
      </t>
    </mdx>
    <mdx n="0" f="m">
      <t c="1">
        <n x="244"/>
      </t>
    </mdx>
    <mdx n="0" f="m">
      <t c="1">
        <n x="245"/>
      </t>
    </mdx>
    <mdx n="0" f="m">
      <t c="1">
        <n x="246"/>
      </t>
    </mdx>
    <mdx n="0" f="m">
      <t c="1">
        <n x="247"/>
      </t>
    </mdx>
    <mdx n="0" f="m">
      <t c="1">
        <n x="248"/>
      </t>
    </mdx>
    <mdx n="0" f="m">
      <t c="1">
        <n x="249"/>
      </t>
    </mdx>
    <mdx n="0" f="m">
      <t c="1">
        <n x="250"/>
      </t>
    </mdx>
    <mdx n="0" f="m">
      <t c="1">
        <n x="251"/>
      </t>
    </mdx>
    <mdx n="0" f="m">
      <t c="1">
        <n x="252"/>
      </t>
    </mdx>
    <mdx n="0" f="m">
      <t c="1">
        <n x="253"/>
      </t>
    </mdx>
    <mdx n="0" f="m">
      <t c="1">
        <n x="254"/>
      </t>
    </mdx>
    <mdx n="0" f="m">
      <t c="1">
        <n x="255"/>
      </t>
    </mdx>
    <mdx n="0" f="m">
      <t c="1">
        <n x="256"/>
      </t>
    </mdx>
    <mdx n="0" f="m">
      <t c="1">
        <n x="257"/>
      </t>
    </mdx>
    <mdx n="0" f="m">
      <t c="1">
        <n x="258"/>
      </t>
    </mdx>
    <mdx n="0" f="m">
      <t c="1">
        <n x="259"/>
      </t>
    </mdx>
    <mdx n="0" f="m">
      <t c="1">
        <n x="260"/>
      </t>
    </mdx>
    <mdx n="0" f="m">
      <t c="1">
        <n x="261"/>
      </t>
    </mdx>
    <mdx n="0" f="m">
      <t c="1">
        <n x="262"/>
      </t>
    </mdx>
    <mdx n="0" f="m">
      <t c="1">
        <n x="263"/>
      </t>
    </mdx>
    <mdx n="0" f="m">
      <t c="1">
        <n x="264"/>
      </t>
    </mdx>
    <mdx n="0" f="m">
      <t c="1">
        <n x="265"/>
      </t>
    </mdx>
    <mdx n="0" f="m">
      <t c="1">
        <n x="266"/>
      </t>
    </mdx>
    <mdx n="0" f="m">
      <t c="1">
        <n x="267"/>
      </t>
    </mdx>
    <mdx n="0" f="m">
      <t c="1">
        <n x="268"/>
      </t>
    </mdx>
    <mdx n="0" f="m">
      <t c="1">
        <n x="269"/>
      </t>
    </mdx>
    <mdx n="0" f="m">
      <t c="1">
        <n x="270"/>
      </t>
    </mdx>
    <mdx n="0" f="m">
      <t c="1">
        <n x="271"/>
      </t>
    </mdx>
    <mdx n="0" f="m">
      <t c="1">
        <n x="272"/>
      </t>
    </mdx>
    <mdx n="0" f="m">
      <t c="1">
        <n x="273"/>
      </t>
    </mdx>
    <mdx n="0" f="m">
      <t c="1">
        <n x="274"/>
      </t>
    </mdx>
    <mdx n="0" f="m">
      <t c="1">
        <n x="275"/>
      </t>
    </mdx>
    <mdx n="0" f="m">
      <t c="1">
        <n x="276"/>
      </t>
    </mdx>
    <mdx n="0" f="m">
      <t c="1">
        <n x="277"/>
      </t>
    </mdx>
    <mdx n="0" f="m">
      <t c="1">
        <n x="278"/>
      </t>
    </mdx>
    <mdx n="0" f="m">
      <t c="1">
        <n x="279"/>
      </t>
    </mdx>
    <mdx n="0" f="m">
      <t c="1">
        <n x="280"/>
      </t>
    </mdx>
    <mdx n="0" f="m">
      <t c="1">
        <n x="281"/>
      </t>
    </mdx>
    <mdx n="0" f="m">
      <t c="1">
        <n x="282"/>
      </t>
    </mdx>
    <mdx n="0" f="m">
      <t c="1">
        <n x="283"/>
      </t>
    </mdx>
    <mdx n="0" f="m">
      <t c="1">
        <n x="284"/>
      </t>
    </mdx>
    <mdx n="0" f="m">
      <t c="1">
        <n x="285"/>
      </t>
    </mdx>
    <mdx n="0" f="m">
      <t c="1">
        <n x="286"/>
      </t>
    </mdx>
    <mdx n="0" f="m">
      <t c="1">
        <n x="287"/>
      </t>
    </mdx>
    <mdx n="0" f="m">
      <t c="1">
        <n x="288"/>
      </t>
    </mdx>
    <mdx n="0" f="m">
      <t c="1">
        <n x="289"/>
      </t>
    </mdx>
    <mdx n="0" f="m">
      <t c="1">
        <n x="290"/>
      </t>
    </mdx>
    <mdx n="0" f="m">
      <t c="1">
        <n x="291"/>
      </t>
    </mdx>
    <mdx n="0" f="m">
      <t c="1">
        <n x="292"/>
      </t>
    </mdx>
    <mdx n="0" f="m">
      <t c="1">
        <n x="293"/>
      </t>
    </mdx>
    <mdx n="0" f="m">
      <t c="1">
        <n x="294"/>
      </t>
    </mdx>
    <mdx n="0" f="m">
      <t c="1">
        <n x="295"/>
      </t>
    </mdx>
    <mdx n="0" f="m">
      <t c="1">
        <n x="296"/>
      </t>
    </mdx>
    <mdx n="0" f="m">
      <t c="1">
        <n x="297"/>
      </t>
    </mdx>
    <mdx n="0" f="m">
      <t c="1">
        <n x="298"/>
      </t>
    </mdx>
    <mdx n="0" f="m">
      <t c="1">
        <n x="299"/>
      </t>
    </mdx>
    <mdx n="0" f="m">
      <t c="1">
        <n x="300"/>
      </t>
    </mdx>
    <mdx n="0" f="m">
      <t c="1">
        <n x="301"/>
      </t>
    </mdx>
    <mdx n="0" f="m">
      <t c="1">
        <n x="302"/>
      </t>
    </mdx>
    <mdx n="0" f="m">
      <t c="1">
        <n x="303"/>
      </t>
    </mdx>
    <mdx n="0" f="m">
      <t c="1">
        <n x="304"/>
      </t>
    </mdx>
    <mdx n="0" f="m">
      <t c="1">
        <n x="305"/>
      </t>
    </mdx>
    <mdx n="0" f="m">
      <t c="1">
        <n x="306"/>
      </t>
    </mdx>
    <mdx n="0" f="m">
      <t c="1">
        <n x="307"/>
      </t>
    </mdx>
    <mdx n="0" f="m">
      <t c="1">
        <n x="308"/>
      </t>
    </mdx>
    <mdx n="0" f="m">
      <t c="1">
        <n x="309"/>
      </t>
    </mdx>
    <mdx n="0" f="m">
      <t c="1">
        <n x="310"/>
      </t>
    </mdx>
    <mdx n="0" f="m">
      <t c="1">
        <n x="311"/>
      </t>
    </mdx>
    <mdx n="0" f="m">
      <t c="1">
        <n x="312"/>
      </t>
    </mdx>
    <mdx n="0" f="m">
      <t c="1">
        <n x="313"/>
      </t>
    </mdx>
    <mdx n="0" f="m">
      <t c="1">
        <n x="314"/>
      </t>
    </mdx>
    <mdx n="0" f="m">
      <t c="1">
        <n x="315"/>
      </t>
    </mdx>
    <mdx n="0" f="m">
      <t c="1">
        <n x="316"/>
      </t>
    </mdx>
    <mdx n="0" f="m">
      <t c="1">
        <n x="317"/>
      </t>
    </mdx>
    <mdx n="0" f="m">
      <t c="1">
        <n x="318"/>
      </t>
    </mdx>
    <mdx n="0" f="m">
      <t c="1">
        <n x="319"/>
      </t>
    </mdx>
    <mdx n="0" f="m">
      <t c="1">
        <n x="320"/>
      </t>
    </mdx>
    <mdx n="0" f="m">
      <t c="1">
        <n x="321"/>
      </t>
    </mdx>
    <mdx n="0" f="m">
      <t c="1">
        <n x="322"/>
      </t>
    </mdx>
    <mdx n="0" f="m">
      <t c="1">
        <n x="323"/>
      </t>
    </mdx>
    <mdx n="0" f="m">
      <t c="1">
        <n x="324"/>
      </t>
    </mdx>
    <mdx n="0" f="m">
      <t c="1">
        <n x="325"/>
      </t>
    </mdx>
    <mdx n="0" f="m">
      <t c="1">
        <n x="326"/>
      </t>
    </mdx>
    <mdx n="0" f="m">
      <t c="1">
        <n x="327"/>
      </t>
    </mdx>
    <mdx n="0" f="m">
      <t c="1">
        <n x="328"/>
      </t>
    </mdx>
    <mdx n="0" f="m">
      <t c="1">
        <n x="329"/>
      </t>
    </mdx>
    <mdx n="0" f="m">
      <t c="1">
        <n x="330"/>
      </t>
    </mdx>
    <mdx n="0" f="m">
      <t c="1">
        <n x="331"/>
      </t>
    </mdx>
    <mdx n="0" f="m">
      <t c="1">
        <n x="332"/>
      </t>
    </mdx>
    <mdx n="0" f="m">
      <t c="1">
        <n x="333"/>
      </t>
    </mdx>
    <mdx n="0" f="m">
      <t c="1">
        <n x="334"/>
      </t>
    </mdx>
    <mdx n="0" f="m">
      <t c="1">
        <n x="335"/>
      </t>
    </mdx>
    <mdx n="0" f="m">
      <t c="1">
        <n x="336"/>
      </t>
    </mdx>
    <mdx n="0" f="m">
      <t c="1">
        <n x="337"/>
      </t>
    </mdx>
    <mdx n="0" f="m">
      <t c="1">
        <n x="338"/>
      </t>
    </mdx>
    <mdx n="0" f="m">
      <t c="1">
        <n x="339"/>
      </t>
    </mdx>
    <mdx n="0" f="m">
      <t c="1">
        <n x="340"/>
      </t>
    </mdx>
    <mdx n="0" f="m">
      <t c="1">
        <n x="341"/>
      </t>
    </mdx>
    <mdx n="0" f="m">
      <t c="1">
        <n x="342"/>
      </t>
    </mdx>
    <mdx n="0" f="m">
      <t c="1">
        <n x="343"/>
      </t>
    </mdx>
    <mdx n="0" f="m">
      <t c="1">
        <n x="344"/>
      </t>
    </mdx>
    <mdx n="0" f="m">
      <t c="1">
        <n x="345"/>
      </t>
    </mdx>
    <mdx n="0" f="m">
      <t c="1">
        <n x="346"/>
      </t>
    </mdx>
    <mdx n="0" f="m">
      <t c="1">
        <n x="347"/>
      </t>
    </mdx>
    <mdx n="0" f="m">
      <t c="1">
        <n x="348"/>
      </t>
    </mdx>
    <mdx n="0" f="m">
      <t c="1">
        <n x="349"/>
      </t>
    </mdx>
    <mdx n="0" f="m">
      <t c="1">
        <n x="350"/>
      </t>
    </mdx>
    <mdx n="0" f="m">
      <t c="1">
        <n x="351"/>
      </t>
    </mdx>
    <mdx n="0" f="m">
      <t c="1">
        <n x="352"/>
      </t>
    </mdx>
    <mdx n="0" f="m">
      <t c="1">
        <n x="353"/>
      </t>
    </mdx>
    <mdx n="0" f="m">
      <t c="1">
        <n x="354"/>
      </t>
    </mdx>
    <mdx n="0" f="m">
      <t c="1">
        <n x="355"/>
      </t>
    </mdx>
    <mdx n="0" f="m">
      <t c="1">
        <n x="356"/>
      </t>
    </mdx>
    <mdx n="0" f="m">
      <t c="1">
        <n x="357"/>
      </t>
    </mdx>
    <mdx n="0" f="m">
      <t c="1">
        <n x="358"/>
      </t>
    </mdx>
    <mdx n="0" f="m">
      <t c="1">
        <n x="359"/>
      </t>
    </mdx>
    <mdx n="0" f="m">
      <t c="1">
        <n x="360"/>
      </t>
    </mdx>
    <mdx n="0" f="m">
      <t c="1">
        <n x="361"/>
      </t>
    </mdx>
    <mdx n="0" f="m">
      <t c="1">
        <n x="362"/>
      </t>
    </mdx>
    <mdx n="0" f="m">
      <t c="1">
        <n x="363"/>
      </t>
    </mdx>
    <mdx n="0" f="m">
      <t c="1">
        <n x="364"/>
      </t>
    </mdx>
    <mdx n="0" f="m">
      <t c="1">
        <n x="365"/>
      </t>
    </mdx>
    <mdx n="0" f="m">
      <t c="1">
        <n x="366"/>
      </t>
    </mdx>
    <mdx n="0" f="m">
      <t c="1">
        <n x="367"/>
      </t>
    </mdx>
    <mdx n="0" f="m">
      <t c="1">
        <n x="368"/>
      </t>
    </mdx>
    <mdx n="0" f="m">
      <t c="1">
        <n x="369"/>
      </t>
    </mdx>
    <mdx n="0" f="m">
      <t c="1">
        <n x="370"/>
      </t>
    </mdx>
    <mdx n="0" f="m">
      <t c="1">
        <n x="371"/>
      </t>
    </mdx>
    <mdx n="0" f="m">
      <t c="1">
        <n x="372"/>
      </t>
    </mdx>
    <mdx n="0" f="m">
      <t c="1">
        <n x="373"/>
      </t>
    </mdx>
    <mdx n="0" f="m">
      <t c="1">
        <n x="374"/>
      </t>
    </mdx>
    <mdx n="0" f="m">
      <t c="1">
        <n x="375"/>
      </t>
    </mdx>
    <mdx n="0" f="m">
      <t c="1">
        <n x="376"/>
      </t>
    </mdx>
    <mdx n="0" f="m">
      <t c="1">
        <n x="377"/>
      </t>
    </mdx>
    <mdx n="0" f="m">
      <t c="1">
        <n x="378"/>
      </t>
    </mdx>
    <mdx n="0" f="m">
      <t c="1">
        <n x="379"/>
      </t>
    </mdx>
    <mdx n="0" f="m">
      <t c="1">
        <n x="380"/>
      </t>
    </mdx>
    <mdx n="0" f="m">
      <t c="1">
        <n x="381"/>
      </t>
    </mdx>
    <mdx n="0" f="m">
      <t c="1">
        <n x="382"/>
      </t>
    </mdx>
    <mdx n="0" f="m">
      <t c="1">
        <n x="383"/>
      </t>
    </mdx>
    <mdx n="0" f="m">
      <t c="1">
        <n x="384"/>
      </t>
    </mdx>
    <mdx n="0" f="m">
      <t c="1">
        <n x="385"/>
      </t>
    </mdx>
    <mdx n="0" f="m">
      <t c="1">
        <n x="386"/>
      </t>
    </mdx>
    <mdx n="0" f="m">
      <t c="1">
        <n x="387"/>
      </t>
    </mdx>
    <mdx n="0" f="m">
      <t c="1">
        <n x="388"/>
      </t>
    </mdx>
    <mdx n="0" f="m">
      <t c="1">
        <n x="389"/>
      </t>
    </mdx>
    <mdx n="0" f="m">
      <t c="1">
        <n x="390"/>
      </t>
    </mdx>
    <mdx n="0" f="m">
      <t c="1">
        <n x="391"/>
      </t>
    </mdx>
    <mdx n="0" f="v">
      <t c="2">
        <n x="4"/>
        <n x="2"/>
      </t>
    </mdx>
    <mdx n="0" f="v">
      <t c="2">
        <n x="6"/>
        <n x="2"/>
      </t>
    </mdx>
    <mdx n="0" f="v">
      <t c="2">
        <n x="8"/>
        <n x="2"/>
      </t>
    </mdx>
    <mdx n="0" f="v">
      <t c="2">
        <n x="10"/>
        <n x="2"/>
      </t>
    </mdx>
    <mdx n="0" f="v">
      <t c="2">
        <n x="12"/>
        <n x="2"/>
      </t>
    </mdx>
    <mdx n="0" f="v">
      <t c="2">
        <n x="14"/>
        <n x="2"/>
      </t>
    </mdx>
    <mdx n="0" f="v">
      <t c="2">
        <n x="16"/>
        <n x="2"/>
      </t>
    </mdx>
    <mdx n="0" f="v">
      <t c="2">
        <n x="18"/>
        <n x="2"/>
      </t>
    </mdx>
    <mdx n="0" f="v">
      <t c="2">
        <n x="20"/>
        <n x="2"/>
      </t>
    </mdx>
    <mdx n="0" f="v">
      <t c="2">
        <n x="22"/>
        <n x="2"/>
      </t>
    </mdx>
    <mdx n="0" f="v">
      <t c="2">
        <n x="24"/>
        <n x="2"/>
      </t>
    </mdx>
    <mdx n="0" f="v">
      <t c="2">
        <n x="26"/>
        <n x="2"/>
      </t>
    </mdx>
    <mdx n="0" f="v">
      <t c="2">
        <n x="28"/>
        <n x="2"/>
      </t>
    </mdx>
    <mdx n="0" f="v">
      <t c="2">
        <n x="30"/>
        <n x="2"/>
      </t>
    </mdx>
    <mdx n="0" f="v">
      <t c="2">
        <n x="32"/>
        <n x="2"/>
      </t>
    </mdx>
    <mdx n="0" f="v">
      <t c="2">
        <n x="34"/>
        <n x="2"/>
      </t>
    </mdx>
    <mdx n="0" f="v">
      <t c="2">
        <n x="36"/>
        <n x="2"/>
      </t>
    </mdx>
    <mdx n="0" f="v">
      <t c="2">
        <n x="38"/>
        <n x="2"/>
      </t>
    </mdx>
    <mdx n="0" f="v">
      <t c="2">
        <n x="40"/>
        <n x="2"/>
      </t>
    </mdx>
    <mdx n="0" f="v">
      <t c="2">
        <n x="42"/>
        <n x="2"/>
      </t>
    </mdx>
    <mdx n="0" f="v">
      <t c="2">
        <n x="44"/>
        <n x="2"/>
      </t>
    </mdx>
    <mdx n="0" f="v">
      <t c="2">
        <n x="46"/>
        <n x="2"/>
      </t>
    </mdx>
    <mdx n="0" f="v">
      <t c="2">
        <n x="48"/>
        <n x="2"/>
      </t>
    </mdx>
    <mdx n="0" f="v">
      <t c="2">
        <n x="50"/>
        <n x="2"/>
      </t>
    </mdx>
    <mdx n="0" f="v">
      <t c="2">
        <n x="52"/>
        <n x="2"/>
      </t>
    </mdx>
    <mdx n="0" f="v">
      <t c="2">
        <n x="54"/>
        <n x="2"/>
      </t>
    </mdx>
    <mdx n="0" f="v">
      <t c="2">
        <n x="56"/>
        <n x="2"/>
      </t>
    </mdx>
    <mdx n="0" f="v">
      <t c="2">
        <n x="58"/>
        <n x="2"/>
      </t>
    </mdx>
    <mdx n="0" f="v">
      <t c="2">
        <n x="60"/>
        <n x="2"/>
      </t>
    </mdx>
    <mdx n="0" f="v">
      <t c="2">
        <n x="62"/>
        <n x="2"/>
      </t>
    </mdx>
    <mdx n="0" f="v">
      <t c="2">
        <n x="3"/>
        <n x="2"/>
      </t>
    </mdx>
    <mdx n="0" f="v">
      <t c="2">
        <n x="5"/>
        <n x="2"/>
      </t>
    </mdx>
    <mdx n="0" f="v">
      <t c="2">
        <n x="7"/>
        <n x="2"/>
      </t>
    </mdx>
    <mdx n="0" f="v">
      <t c="2">
        <n x="9"/>
        <n x="2"/>
      </t>
    </mdx>
    <mdx n="0" f="v">
      <t c="2">
        <n x="11"/>
        <n x="2"/>
      </t>
    </mdx>
    <mdx n="0" f="v">
      <t c="2">
        <n x="13"/>
        <n x="2"/>
      </t>
    </mdx>
    <mdx n="0" f="v">
      <t c="2">
        <n x="15"/>
        <n x="2"/>
      </t>
    </mdx>
    <mdx n="0" f="v">
      <t c="2">
        <n x="17"/>
        <n x="2"/>
      </t>
    </mdx>
    <mdx n="0" f="v">
      <t c="2">
        <n x="19"/>
        <n x="2"/>
      </t>
    </mdx>
    <mdx n="0" f="v">
      <t c="2">
        <n x="21"/>
        <n x="2"/>
      </t>
    </mdx>
    <mdx n="0" f="v">
      <t c="2">
        <n x="23"/>
        <n x="2"/>
      </t>
    </mdx>
    <mdx n="0" f="v">
      <t c="2">
        <n x="25"/>
        <n x="2"/>
      </t>
    </mdx>
    <mdx n="0" f="v">
      <t c="2">
        <n x="27"/>
        <n x="2"/>
      </t>
    </mdx>
    <mdx n="0" f="v">
      <t c="2">
        <n x="29"/>
        <n x="2"/>
      </t>
    </mdx>
    <mdx n="0" f="v">
      <t c="2">
        <n x="31"/>
        <n x="2"/>
      </t>
    </mdx>
    <mdx n="0" f="v">
      <t c="2">
        <n x="33"/>
        <n x="2"/>
      </t>
    </mdx>
    <mdx n="0" f="v">
      <t c="2">
        <n x="35"/>
        <n x="2"/>
      </t>
    </mdx>
    <mdx n="0" f="v">
      <t c="2">
        <n x="37"/>
        <n x="2"/>
      </t>
    </mdx>
    <mdx n="0" f="v">
      <t c="2">
        <n x="39"/>
        <n x="2"/>
      </t>
    </mdx>
    <mdx n="0" f="v">
      <t c="2">
        <n x="41"/>
        <n x="2"/>
      </t>
    </mdx>
    <mdx n="0" f="v">
      <t c="2">
        <n x="43"/>
        <n x="2"/>
      </t>
    </mdx>
    <mdx n="0" f="v">
      <t c="2">
        <n x="45"/>
        <n x="2"/>
      </t>
    </mdx>
    <mdx n="0" f="v">
      <t c="2">
        <n x="47"/>
        <n x="2"/>
      </t>
    </mdx>
    <mdx n="0" f="v">
      <t c="2">
        <n x="49"/>
        <n x="2"/>
      </t>
    </mdx>
    <mdx n="0" f="v">
      <t c="2">
        <n x="51"/>
        <n x="2"/>
      </t>
    </mdx>
    <mdx n="0" f="v">
      <t c="2">
        <n x="53"/>
        <n x="2"/>
      </t>
    </mdx>
    <mdx n="0" f="v">
      <t c="2">
        <n x="55"/>
        <n x="2"/>
      </t>
    </mdx>
    <mdx n="0" f="v">
      <t c="2">
        <n x="57"/>
        <n x="2"/>
      </t>
    </mdx>
    <mdx n="0" f="v">
      <t c="2">
        <n x="59"/>
        <n x="2"/>
      </t>
    </mdx>
    <mdx n="0" f="v">
      <t c="2">
        <n x="61"/>
        <n x="2"/>
      </t>
    </mdx>
    <mdx n="0" f="v">
      <t c="2">
        <n x="129"/>
        <n x="2"/>
      </t>
    </mdx>
    <mdx n="0" f="v">
      <t c="2">
        <n x="131"/>
        <n x="2"/>
      </t>
    </mdx>
    <mdx n="0" f="v">
      <t c="2">
        <n x="133"/>
        <n x="2"/>
      </t>
    </mdx>
    <mdx n="0" f="v">
      <t c="2">
        <n x="135"/>
        <n x="2"/>
      </t>
    </mdx>
    <mdx n="0" f="v">
      <t c="2">
        <n x="137"/>
        <n x="2"/>
      </t>
    </mdx>
    <mdx n="0" f="v">
      <t c="2">
        <n x="139"/>
        <n x="2"/>
      </t>
    </mdx>
    <mdx n="0" f="v">
      <t c="2">
        <n x="141"/>
        <n x="2"/>
      </t>
    </mdx>
    <mdx n="0" f="v">
      <t c="2">
        <n x="143"/>
        <n x="2"/>
      </t>
    </mdx>
    <mdx n="0" f="v">
      <t c="2">
        <n x="145"/>
        <n x="2"/>
      </t>
    </mdx>
    <mdx n="0" f="v">
      <t c="2">
        <n x="147"/>
        <n x="2"/>
      </t>
    </mdx>
    <mdx n="0" f="v">
      <t c="2">
        <n x="149"/>
        <n x="2"/>
      </t>
    </mdx>
    <mdx n="0" f="v">
      <t c="2">
        <n x="151"/>
        <n x="2"/>
      </t>
    </mdx>
    <mdx n="0" f="v">
      <t c="2">
        <n x="153"/>
        <n x="2"/>
      </t>
    </mdx>
    <mdx n="0" f="v">
      <t c="2">
        <n x="155"/>
        <n x="2"/>
      </t>
    </mdx>
    <mdx n="0" f="v">
      <t c="2">
        <n x="157"/>
        <n x="2"/>
      </t>
    </mdx>
    <mdx n="0" f="v">
      <t c="2">
        <n x="159"/>
        <n x="2"/>
      </t>
    </mdx>
    <mdx n="0" f="v">
      <t c="2">
        <n x="161"/>
        <n x="2"/>
      </t>
    </mdx>
    <mdx n="0" f="v">
      <t c="2">
        <n x="163"/>
        <n x="2"/>
      </t>
    </mdx>
    <mdx n="0" f="v">
      <t c="2">
        <n x="165"/>
        <n x="2"/>
      </t>
    </mdx>
    <mdx n="0" f="v">
      <t c="2">
        <n x="167"/>
        <n x="2"/>
      </t>
    </mdx>
    <mdx n="0" f="v">
      <t c="2">
        <n x="169"/>
        <n x="2"/>
      </t>
    </mdx>
    <mdx n="0" f="v">
      <t c="2">
        <n x="171"/>
        <n x="2"/>
      </t>
    </mdx>
    <mdx n="0" f="v">
      <t c="2">
        <n x="173"/>
        <n x="2"/>
      </t>
    </mdx>
    <mdx n="0" f="v">
      <t c="2">
        <n x="175"/>
        <n x="2"/>
      </t>
    </mdx>
    <mdx n="0" f="v">
      <t c="2">
        <n x="177"/>
        <n x="2"/>
      </t>
    </mdx>
    <mdx n="0" f="v">
      <t c="2">
        <n x="179"/>
        <n x="2"/>
      </t>
    </mdx>
    <mdx n="0" f="v">
      <t c="2">
        <n x="181"/>
        <n x="2"/>
      </t>
    </mdx>
    <mdx n="0" f="v">
      <t c="2">
        <n x="183"/>
        <n x="2"/>
      </t>
    </mdx>
    <mdx n="0" f="v">
      <t c="2">
        <n x="185"/>
        <n x="2"/>
      </t>
    </mdx>
    <mdx n="0" f="v">
      <t c="2">
        <n x="187"/>
        <n x="2"/>
      </t>
    </mdx>
    <mdx n="0" f="v">
      <t c="2">
        <n x="189"/>
        <n x="2"/>
      </t>
    </mdx>
    <mdx n="0" f="v">
      <t c="2">
        <n x="191"/>
        <n x="2"/>
      </t>
    </mdx>
    <mdx n="0" f="v">
      <t c="2">
        <n x="193"/>
        <n x="2"/>
      </t>
    </mdx>
    <mdx n="0" f="v">
      <t c="2">
        <n x="195"/>
        <n x="2"/>
      </t>
    </mdx>
    <mdx n="0" f="v">
      <t c="2">
        <n x="197"/>
        <n x="2"/>
      </t>
    </mdx>
    <mdx n="0" f="v">
      <t c="2">
        <n x="199"/>
        <n x="2"/>
      </t>
    </mdx>
    <mdx n="0" f="v">
      <t c="2">
        <n x="201"/>
        <n x="2"/>
      </t>
    </mdx>
    <mdx n="0" f="v">
      <t c="2">
        <n x="203"/>
        <n x="2"/>
      </t>
    </mdx>
    <mdx n="0" f="v">
      <t c="2">
        <n x="205"/>
        <n x="2"/>
      </t>
    </mdx>
    <mdx n="0" f="v">
      <t c="2">
        <n x="207"/>
        <n x="2"/>
      </t>
    </mdx>
    <mdx n="0" f="v">
      <t c="2">
        <n x="209"/>
        <n x="2"/>
      </t>
    </mdx>
    <mdx n="0" f="v">
      <t c="2">
        <n x="211"/>
        <n x="2"/>
      </t>
    </mdx>
    <mdx n="0" f="v">
      <t c="2">
        <n x="213"/>
        <n x="2"/>
      </t>
    </mdx>
    <mdx n="0" f="v">
      <t c="2">
        <n x="215"/>
        <n x="2"/>
      </t>
    </mdx>
    <mdx n="0" f="v">
      <t c="2">
        <n x="217"/>
        <n x="2"/>
      </t>
    </mdx>
    <mdx n="0" f="v">
      <t c="2">
        <n x="219"/>
        <n x="2"/>
      </t>
    </mdx>
    <mdx n="0" f="v">
      <t c="2">
        <n x="221"/>
        <n x="2"/>
      </t>
    </mdx>
    <mdx n="0" f="v">
      <t c="2">
        <n x="223"/>
        <n x="2"/>
      </t>
    </mdx>
    <mdx n="0" f="v">
      <t c="2">
        <n x="225"/>
        <n x="2"/>
      </t>
    </mdx>
    <mdx n="0" f="v">
      <t c="2">
        <n x="227"/>
        <n x="2"/>
      </t>
    </mdx>
    <mdx n="0" f="v">
      <t c="2">
        <n x="229"/>
        <n x="2"/>
      </t>
    </mdx>
    <mdx n="0" f="v">
      <t c="2">
        <n x="231"/>
        <n x="2"/>
      </t>
    </mdx>
    <mdx n="0" f="v">
      <t c="2">
        <n x="233"/>
        <n x="2"/>
      </t>
    </mdx>
    <mdx n="0" f="v">
      <t c="2">
        <n x="235"/>
        <n x="2"/>
      </t>
    </mdx>
    <mdx n="0" f="v">
      <t c="2">
        <n x="237"/>
        <n x="2"/>
      </t>
    </mdx>
    <mdx n="0" f="v">
      <t c="2">
        <n x="239"/>
        <n x="2"/>
      </t>
    </mdx>
    <mdx n="0" f="v">
      <t c="2">
        <n x="241"/>
        <n x="2"/>
      </t>
    </mdx>
    <mdx n="0" f="v">
      <t c="2">
        <n x="243"/>
        <n x="2"/>
      </t>
    </mdx>
    <mdx n="0" f="v">
      <t c="2">
        <n x="245"/>
        <n x="2"/>
      </t>
    </mdx>
    <mdx n="0" f="v">
      <t c="2">
        <n x="247"/>
        <n x="2"/>
      </t>
    </mdx>
    <mdx n="0" f="v">
      <t c="2">
        <n x="249"/>
        <n x="2"/>
      </t>
    </mdx>
    <mdx n="0" f="v">
      <t c="2">
        <n x="251"/>
        <n x="2"/>
      </t>
    </mdx>
    <mdx n="0" f="v">
      <t c="2">
        <n x="253"/>
        <n x="2"/>
      </t>
    </mdx>
    <mdx n="0" f="v">
      <t c="2">
        <n x="255"/>
        <n x="2"/>
      </t>
    </mdx>
    <mdx n="0" f="v">
      <t c="2">
        <n x="257"/>
        <n x="2"/>
      </t>
    </mdx>
    <mdx n="0" f="v">
      <t c="2">
        <n x="259"/>
        <n x="2"/>
      </t>
    </mdx>
    <mdx n="0" f="v">
      <t c="2">
        <n x="261"/>
        <n x="2"/>
      </t>
    </mdx>
    <mdx n="0" f="v">
      <t c="2">
        <n x="263"/>
        <n x="2"/>
      </t>
    </mdx>
    <mdx n="0" f="v">
      <t c="2">
        <n x="265"/>
        <n x="2"/>
      </t>
    </mdx>
    <mdx n="0" f="v">
      <t c="2">
        <n x="267"/>
        <n x="2"/>
      </t>
    </mdx>
    <mdx n="0" f="v">
      <t c="2">
        <n x="269"/>
        <n x="2"/>
      </t>
    </mdx>
    <mdx n="0" f="v">
      <t c="2">
        <n x="271"/>
        <n x="2"/>
      </t>
    </mdx>
    <mdx n="0" f="v">
      <t c="2">
        <n x="273"/>
        <n x="2"/>
      </t>
    </mdx>
    <mdx n="0" f="v">
      <t c="2">
        <n x="275"/>
        <n x="2"/>
      </t>
    </mdx>
    <mdx n="0" f="v">
      <t c="2">
        <n x="277"/>
        <n x="2"/>
      </t>
    </mdx>
    <mdx n="0" f="v">
      <t c="2">
        <n x="279"/>
        <n x="2"/>
      </t>
    </mdx>
    <mdx n="0" f="v">
      <t c="2">
        <n x="281"/>
        <n x="2"/>
      </t>
    </mdx>
    <mdx n="0" f="v">
      <t c="2">
        <n x="283"/>
        <n x="2"/>
      </t>
    </mdx>
    <mdx n="0" f="v">
      <t c="2">
        <n x="285"/>
        <n x="2"/>
      </t>
    </mdx>
    <mdx n="0" f="v">
      <t c="2">
        <n x="287"/>
        <n x="2"/>
      </t>
    </mdx>
    <mdx n="0" f="v">
      <t c="2">
        <n x="289"/>
        <n x="2"/>
      </t>
    </mdx>
    <mdx n="0" f="v">
      <t c="2">
        <n x="291"/>
        <n x="2"/>
      </t>
    </mdx>
    <mdx n="0" f="v">
      <t c="2">
        <n x="293"/>
        <n x="2"/>
      </t>
    </mdx>
    <mdx n="0" f="v">
      <t c="2">
        <n x="295"/>
        <n x="2"/>
      </t>
    </mdx>
    <mdx n="0" f="v">
      <t c="2">
        <n x="297"/>
        <n x="2"/>
      </t>
    </mdx>
    <mdx n="0" f="v">
      <t c="2">
        <n x="299"/>
        <n x="2"/>
      </t>
    </mdx>
    <mdx n="0" f="v">
      <t c="2">
        <n x="301"/>
        <n x="2"/>
      </t>
    </mdx>
    <mdx n="0" f="v">
      <t c="2">
        <n x="303"/>
        <n x="2"/>
      </t>
    </mdx>
    <mdx n="0" f="v">
      <t c="2">
        <n x="305"/>
        <n x="2"/>
      </t>
    </mdx>
    <mdx n="0" f="v">
      <t c="2">
        <n x="307"/>
        <n x="2"/>
      </t>
    </mdx>
    <mdx n="0" f="v">
      <t c="2">
        <n x="309"/>
        <n x="2"/>
      </t>
    </mdx>
    <mdx n="0" f="v">
      <t c="2">
        <n x="311"/>
        <n x="2"/>
      </t>
    </mdx>
    <mdx n="0" f="v">
      <t c="2">
        <n x="313"/>
        <n x="2"/>
      </t>
    </mdx>
    <mdx n="0" f="v">
      <t c="2">
        <n x="315"/>
        <n x="2"/>
      </t>
    </mdx>
    <mdx n="0" f="v">
      <t c="2">
        <n x="317"/>
        <n x="2"/>
      </t>
    </mdx>
    <mdx n="0" f="v">
      <t c="2">
        <n x="319"/>
        <n x="2"/>
      </t>
    </mdx>
    <mdx n="0" f="v">
      <t c="2">
        <n x="321"/>
        <n x="2"/>
      </t>
    </mdx>
    <mdx n="0" f="v">
      <t c="2">
        <n x="323"/>
        <n x="2"/>
      </t>
    </mdx>
    <mdx n="0" f="v">
      <t c="2">
        <n x="325"/>
        <n x="2"/>
      </t>
    </mdx>
    <mdx n="0" f="v">
      <t c="2">
        <n x="327"/>
        <n x="2"/>
      </t>
    </mdx>
    <mdx n="0" f="v">
      <t c="2">
        <n x="329"/>
        <n x="2"/>
      </t>
    </mdx>
    <mdx n="0" f="v">
      <t c="2">
        <n x="331"/>
        <n x="2"/>
      </t>
    </mdx>
    <mdx n="0" f="v">
      <t c="2">
        <n x="333"/>
        <n x="2"/>
      </t>
    </mdx>
    <mdx n="0" f="v">
      <t c="2">
        <n x="335"/>
        <n x="2"/>
      </t>
    </mdx>
    <mdx n="0" f="v">
      <t c="2">
        <n x="337"/>
        <n x="2"/>
      </t>
    </mdx>
    <mdx n="0" f="v">
      <t c="2">
        <n x="339"/>
        <n x="2"/>
      </t>
    </mdx>
    <mdx n="0" f="v">
      <t c="2">
        <n x="341"/>
        <n x="2"/>
      </t>
    </mdx>
    <mdx n="0" f="v">
      <t c="2">
        <n x="343"/>
        <n x="2"/>
      </t>
    </mdx>
    <mdx n="0" f="v">
      <t c="2">
        <n x="345"/>
        <n x="2"/>
      </t>
    </mdx>
    <mdx n="0" f="v">
      <t c="2">
        <n x="347"/>
        <n x="2"/>
      </t>
    </mdx>
    <mdx n="0" f="v">
      <t c="2">
        <n x="349"/>
        <n x="2"/>
      </t>
    </mdx>
    <mdx n="0" f="v">
      <t c="2">
        <n x="351"/>
        <n x="2"/>
      </t>
    </mdx>
    <mdx n="0" f="v">
      <t c="2">
        <n x="353"/>
        <n x="2"/>
      </t>
    </mdx>
    <mdx n="0" f="v">
      <t c="2">
        <n x="355"/>
        <n x="2"/>
      </t>
    </mdx>
    <mdx n="0" f="v">
      <t c="2">
        <n x="357"/>
        <n x="2"/>
      </t>
    </mdx>
    <mdx n="0" f="v">
      <t c="2">
        <n x="359"/>
        <n x="2"/>
      </t>
    </mdx>
    <mdx n="0" f="v">
      <t c="2">
        <n x="361"/>
        <n x="2"/>
      </t>
    </mdx>
    <mdx n="0" f="v">
      <t c="2">
        <n x="363"/>
        <n x="2"/>
      </t>
    </mdx>
    <mdx n="0" f="v">
      <t c="2">
        <n x="365"/>
        <n x="2"/>
      </t>
    </mdx>
    <mdx n="0" f="v">
      <t c="2">
        <n x="367"/>
        <n x="2"/>
      </t>
    </mdx>
    <mdx n="0" f="v">
      <t c="2">
        <n x="369"/>
        <n x="2"/>
      </t>
    </mdx>
    <mdx n="0" f="v">
      <t c="2">
        <n x="371"/>
        <n x="2"/>
      </t>
    </mdx>
    <mdx n="0" f="v">
      <t c="2">
        <n x="373"/>
        <n x="2"/>
      </t>
    </mdx>
    <mdx n="0" f="v">
      <t c="2">
        <n x="375"/>
        <n x="2"/>
      </t>
    </mdx>
    <mdx n="0" f="v">
      <t c="2">
        <n x="377"/>
        <n x="2"/>
      </t>
    </mdx>
    <mdx n="0" f="v">
      <t c="2">
        <n x="379"/>
        <n x="2"/>
      </t>
    </mdx>
    <mdx n="0" f="v">
      <t c="2">
        <n x="381"/>
        <n x="2"/>
      </t>
    </mdx>
    <mdx n="0" f="v">
      <t c="2">
        <n x="383"/>
        <n x="2"/>
      </t>
    </mdx>
    <mdx n="0" f="v">
      <t c="2">
        <n x="385"/>
        <n x="2"/>
      </t>
    </mdx>
    <mdx n="0" f="v">
      <t c="2">
        <n x="387"/>
        <n x="2"/>
      </t>
    </mdx>
    <mdx n="0" f="v">
      <t c="2">
        <n x="389"/>
        <n x="2"/>
      </t>
    </mdx>
    <mdx n="0" f="v">
      <t c="2">
        <n x="391"/>
        <n x="2"/>
      </t>
    </mdx>
    <mdx n="0" f="v">
      <t c="2">
        <n x="63"/>
        <n x="2"/>
      </t>
    </mdx>
    <mdx n="0" f="v">
      <t c="2">
        <n x="64"/>
        <n x="2"/>
      </t>
    </mdx>
    <mdx n="0" f="v">
      <t c="2">
        <n x="65"/>
        <n x="2"/>
      </t>
    </mdx>
    <mdx n="0" f="v">
      <t c="2">
        <n x="66"/>
        <n x="2"/>
      </t>
    </mdx>
    <mdx n="0" f="v">
      <t c="2">
        <n x="67"/>
        <n x="2"/>
      </t>
    </mdx>
    <mdx n="0" f="v">
      <t c="2">
        <n x="68"/>
        <n x="2"/>
      </t>
    </mdx>
    <mdx n="0" f="v">
      <t c="2">
        <n x="69"/>
        <n x="2"/>
      </t>
    </mdx>
    <mdx n="0" f="v">
      <t c="2">
        <n x="70"/>
        <n x="2"/>
      </t>
    </mdx>
    <mdx n="0" f="v">
      <t c="2">
        <n x="71"/>
        <n x="2"/>
      </t>
    </mdx>
    <mdx n="0" f="v">
      <t c="2">
        <n x="72"/>
        <n x="2"/>
      </t>
    </mdx>
    <mdx n="0" f="v">
      <t c="2">
        <n x="73"/>
        <n x="2"/>
      </t>
    </mdx>
    <mdx n="0" f="v">
      <t c="2">
        <n x="74"/>
        <n x="2"/>
      </t>
    </mdx>
    <mdx n="0" f="v">
      <t c="2">
        <n x="75"/>
        <n x="2"/>
      </t>
    </mdx>
    <mdx n="0" f="v">
      <t c="2">
        <n x="76"/>
        <n x="2"/>
      </t>
    </mdx>
    <mdx n="0" f="v">
      <t c="2">
        <n x="77"/>
        <n x="2"/>
      </t>
    </mdx>
    <mdx n="0" f="v">
      <t c="2">
        <n x="78"/>
        <n x="2"/>
      </t>
    </mdx>
    <mdx n="0" f="v">
      <t c="2">
        <n x="79"/>
        <n x="2"/>
      </t>
    </mdx>
    <mdx n="0" f="v">
      <t c="2">
        <n x="80"/>
        <n x="2"/>
      </t>
    </mdx>
    <mdx n="0" f="v">
      <t c="2">
        <n x="81"/>
        <n x="2"/>
      </t>
    </mdx>
    <mdx n="0" f="v">
      <t c="2">
        <n x="82"/>
        <n x="2"/>
      </t>
    </mdx>
    <mdx n="0" f="v">
      <t c="2">
        <n x="83"/>
        <n x="2"/>
      </t>
    </mdx>
    <mdx n="0" f="v">
      <t c="2">
        <n x="84"/>
        <n x="2"/>
      </t>
    </mdx>
    <mdx n="0" f="v">
      <t c="2">
        <n x="85"/>
        <n x="2"/>
      </t>
    </mdx>
    <mdx n="0" f="v">
      <t c="2">
        <n x="86"/>
        <n x="2"/>
      </t>
    </mdx>
    <mdx n="0" f="v">
      <t c="2">
        <n x="87"/>
        <n x="2"/>
      </t>
    </mdx>
    <mdx n="0" f="v">
      <t c="2">
        <n x="88"/>
        <n x="2"/>
      </t>
    </mdx>
    <mdx n="0" f="v">
      <t c="2">
        <n x="89"/>
        <n x="2"/>
      </t>
    </mdx>
    <mdx n="0" f="v">
      <t c="2">
        <n x="90"/>
        <n x="2"/>
      </t>
    </mdx>
    <mdx n="0" f="v">
      <t c="2">
        <n x="91"/>
        <n x="2"/>
      </t>
    </mdx>
    <mdx n="0" f="v">
      <t c="2">
        <n x="92"/>
        <n x="2"/>
      </t>
    </mdx>
    <mdx n="0" f="v">
      <t c="2">
        <n x="93"/>
        <n x="2"/>
      </t>
    </mdx>
    <mdx n="0" f="v">
      <t c="2">
        <n x="94"/>
        <n x="2"/>
      </t>
    </mdx>
    <mdx n="0" f="v">
      <t c="2">
        <n x="95"/>
        <n x="2"/>
      </t>
    </mdx>
    <mdx n="0" f="v">
      <t c="2">
        <n x="96"/>
        <n x="2"/>
      </t>
    </mdx>
    <mdx n="0" f="v">
      <t c="2">
        <n x="97"/>
        <n x="2"/>
      </t>
    </mdx>
    <mdx n="0" f="v">
      <t c="2">
        <n x="98"/>
        <n x="2"/>
      </t>
    </mdx>
    <mdx n="0" f="v">
      <t c="2">
        <n x="99"/>
        <n x="2"/>
      </t>
    </mdx>
    <mdx n="0" f="v">
      <t c="2">
        <n x="100"/>
        <n x="2"/>
      </t>
    </mdx>
    <mdx n="0" f="v">
      <t c="2">
        <n x="101"/>
        <n x="2"/>
      </t>
    </mdx>
    <mdx n="0" f="v">
      <t c="2">
        <n x="102"/>
        <n x="2"/>
      </t>
    </mdx>
    <mdx n="0" f="v">
      <t c="2">
        <n x="103"/>
        <n x="2"/>
      </t>
    </mdx>
    <mdx n="0" f="v">
      <t c="2">
        <n x="104"/>
        <n x="2"/>
      </t>
    </mdx>
    <mdx n="0" f="v">
      <t c="2">
        <n x="105"/>
        <n x="2"/>
      </t>
    </mdx>
    <mdx n="0" f="v">
      <t c="2">
        <n x="106"/>
        <n x="2"/>
      </t>
    </mdx>
    <mdx n="0" f="v">
      <t c="2">
        <n x="107"/>
        <n x="2"/>
      </t>
    </mdx>
    <mdx n="0" f="v">
      <t c="2">
        <n x="108"/>
        <n x="2"/>
      </t>
    </mdx>
    <mdx n="0" f="v">
      <t c="2">
        <n x="109"/>
        <n x="2"/>
      </t>
    </mdx>
    <mdx n="0" f="v">
      <t c="2">
        <n x="110"/>
        <n x="2"/>
      </t>
    </mdx>
    <mdx n="0" f="v">
      <t c="2">
        <n x="111"/>
        <n x="2"/>
      </t>
    </mdx>
    <mdx n="0" f="v">
      <t c="2">
        <n x="112"/>
        <n x="2"/>
      </t>
    </mdx>
    <mdx n="0" f="v">
      <t c="2">
        <n x="113"/>
        <n x="2"/>
      </t>
    </mdx>
    <mdx n="0" f="v">
      <t c="2">
        <n x="114"/>
        <n x="2"/>
      </t>
    </mdx>
    <mdx n="0" f="v">
      <t c="2">
        <n x="115"/>
        <n x="2"/>
      </t>
    </mdx>
    <mdx n="0" f="v">
      <t c="2">
        <n x="116"/>
        <n x="2"/>
      </t>
    </mdx>
    <mdx n="0" f="v">
      <t c="2">
        <n x="117"/>
        <n x="2"/>
      </t>
    </mdx>
    <mdx n="0" f="v">
      <t c="2">
        <n x="118"/>
        <n x="2"/>
      </t>
    </mdx>
    <mdx n="0" f="v">
      <t c="2">
        <n x="119"/>
        <n x="2"/>
      </t>
    </mdx>
    <mdx n="0" f="v">
      <t c="2">
        <n x="120"/>
        <n x="2"/>
      </t>
    </mdx>
    <mdx n="0" f="v">
      <t c="2">
        <n x="121"/>
        <n x="2"/>
      </t>
    </mdx>
    <mdx n="0" f="v">
      <t c="2">
        <n x="122"/>
        <n x="2"/>
      </t>
    </mdx>
    <mdx n="0" f="v">
      <t c="2">
        <n x="123"/>
        <n x="2"/>
      </t>
    </mdx>
    <mdx n="0" f="v">
      <t c="2">
        <n x="124"/>
        <n x="2"/>
      </t>
    </mdx>
    <mdx n="0" f="v">
      <t c="2">
        <n x="125"/>
        <n x="2"/>
      </t>
    </mdx>
    <mdx n="0" f="v">
      <t c="2">
        <n x="126"/>
        <n x="2"/>
      </t>
    </mdx>
    <mdx n="0" f="v">
      <t c="2">
        <n x="127"/>
        <n x="2"/>
      </t>
    </mdx>
    <mdx n="0" f="v">
      <t c="2">
        <n x="128"/>
        <n x="2"/>
      </t>
    </mdx>
    <mdx n="0" f="v">
      <t c="2">
        <n x="130"/>
        <n x="2"/>
      </t>
    </mdx>
    <mdx n="0" f="v">
      <t c="2">
        <n x="132"/>
        <n x="2"/>
      </t>
    </mdx>
    <mdx n="0" f="v">
      <t c="2">
        <n x="134"/>
        <n x="2"/>
      </t>
    </mdx>
    <mdx n="0" f="v">
      <t c="2">
        <n x="136"/>
        <n x="2"/>
      </t>
    </mdx>
    <mdx n="0" f="v">
      <t c="2">
        <n x="138"/>
        <n x="2"/>
      </t>
    </mdx>
    <mdx n="0" f="v">
      <t c="2">
        <n x="140"/>
        <n x="2"/>
      </t>
    </mdx>
    <mdx n="0" f="v">
      <t c="2">
        <n x="142"/>
        <n x="2"/>
      </t>
    </mdx>
    <mdx n="0" f="v">
      <t c="2">
        <n x="144"/>
        <n x="2"/>
      </t>
    </mdx>
    <mdx n="0" f="v">
      <t c="2">
        <n x="146"/>
        <n x="2"/>
      </t>
    </mdx>
    <mdx n="0" f="v">
      <t c="2">
        <n x="148"/>
        <n x="2"/>
      </t>
    </mdx>
    <mdx n="0" f="v">
      <t c="2">
        <n x="150"/>
        <n x="2"/>
      </t>
    </mdx>
    <mdx n="0" f="v">
      <t c="2">
        <n x="152"/>
        <n x="2"/>
      </t>
    </mdx>
    <mdx n="0" f="v">
      <t c="2">
        <n x="154"/>
        <n x="2"/>
      </t>
    </mdx>
    <mdx n="0" f="v">
      <t c="2">
        <n x="156"/>
        <n x="2"/>
      </t>
    </mdx>
    <mdx n="0" f="v">
      <t c="2">
        <n x="158"/>
        <n x="2"/>
      </t>
    </mdx>
    <mdx n="0" f="v">
      <t c="2">
        <n x="160"/>
        <n x="2"/>
      </t>
    </mdx>
    <mdx n="0" f="v">
      <t c="2">
        <n x="162"/>
        <n x="2"/>
      </t>
    </mdx>
    <mdx n="0" f="v">
      <t c="2">
        <n x="164"/>
        <n x="2"/>
      </t>
    </mdx>
    <mdx n="0" f="v">
      <t c="2">
        <n x="166"/>
        <n x="2"/>
      </t>
    </mdx>
    <mdx n="0" f="v">
      <t c="2">
        <n x="168"/>
        <n x="2"/>
      </t>
    </mdx>
    <mdx n="0" f="v">
      <t c="2">
        <n x="170"/>
        <n x="2"/>
      </t>
    </mdx>
    <mdx n="0" f="v">
      <t c="2">
        <n x="172"/>
        <n x="2"/>
      </t>
    </mdx>
    <mdx n="0" f="v">
      <t c="2">
        <n x="174"/>
        <n x="2"/>
      </t>
    </mdx>
    <mdx n="0" f="v">
      <t c="2">
        <n x="176"/>
        <n x="2"/>
      </t>
    </mdx>
    <mdx n="0" f="v">
      <t c="2">
        <n x="178"/>
        <n x="2"/>
      </t>
    </mdx>
    <mdx n="0" f="v">
      <t c="2">
        <n x="180"/>
        <n x="2"/>
      </t>
    </mdx>
    <mdx n="0" f="v">
      <t c="2">
        <n x="182"/>
        <n x="2"/>
      </t>
    </mdx>
    <mdx n="0" f="v">
      <t c="2">
        <n x="184"/>
        <n x="2"/>
      </t>
    </mdx>
    <mdx n="0" f="v">
      <t c="2">
        <n x="186"/>
        <n x="2"/>
      </t>
    </mdx>
    <mdx n="0" f="v">
      <t c="2">
        <n x="188"/>
        <n x="2"/>
      </t>
    </mdx>
    <mdx n="0" f="v">
      <t c="2">
        <n x="190"/>
        <n x="2"/>
      </t>
    </mdx>
    <mdx n="0" f="v">
      <t c="2">
        <n x="192"/>
        <n x="2"/>
      </t>
    </mdx>
    <mdx n="0" f="v">
      <t c="2">
        <n x="194"/>
        <n x="2"/>
      </t>
    </mdx>
    <mdx n="0" f="v">
      <t c="2">
        <n x="196"/>
        <n x="2"/>
      </t>
    </mdx>
    <mdx n="0" f="v">
      <t c="2">
        <n x="198"/>
        <n x="2"/>
      </t>
    </mdx>
    <mdx n="0" f="v">
      <t c="2">
        <n x="200"/>
        <n x="2"/>
      </t>
    </mdx>
    <mdx n="0" f="v">
      <t c="2">
        <n x="202"/>
        <n x="2"/>
      </t>
    </mdx>
    <mdx n="0" f="v">
      <t c="2">
        <n x="204"/>
        <n x="2"/>
      </t>
    </mdx>
    <mdx n="0" f="v">
      <t c="2">
        <n x="206"/>
        <n x="2"/>
      </t>
    </mdx>
    <mdx n="0" f="v">
      <t c="2">
        <n x="208"/>
        <n x="2"/>
      </t>
    </mdx>
    <mdx n="0" f="v">
      <t c="2">
        <n x="210"/>
        <n x="2"/>
      </t>
    </mdx>
    <mdx n="0" f="v">
      <t c="2">
        <n x="212"/>
        <n x="2"/>
      </t>
    </mdx>
    <mdx n="0" f="v">
      <t c="2">
        <n x="214"/>
        <n x="2"/>
      </t>
    </mdx>
    <mdx n="0" f="v">
      <t c="2">
        <n x="216"/>
        <n x="2"/>
      </t>
    </mdx>
    <mdx n="0" f="v">
      <t c="2">
        <n x="218"/>
        <n x="2"/>
      </t>
    </mdx>
    <mdx n="0" f="v">
      <t c="2">
        <n x="220"/>
        <n x="2"/>
      </t>
    </mdx>
    <mdx n="0" f="v">
      <t c="2">
        <n x="222"/>
        <n x="2"/>
      </t>
    </mdx>
    <mdx n="0" f="v">
      <t c="2">
        <n x="224"/>
        <n x="2"/>
      </t>
    </mdx>
    <mdx n="0" f="v">
      <t c="2">
        <n x="226"/>
        <n x="2"/>
      </t>
    </mdx>
    <mdx n="0" f="v">
      <t c="2">
        <n x="228"/>
        <n x="2"/>
      </t>
    </mdx>
    <mdx n="0" f="v">
      <t c="2">
        <n x="230"/>
        <n x="2"/>
      </t>
    </mdx>
    <mdx n="0" f="v">
      <t c="2">
        <n x="232"/>
        <n x="2"/>
      </t>
    </mdx>
    <mdx n="0" f="v">
      <t c="2">
        <n x="234"/>
        <n x="2"/>
      </t>
    </mdx>
    <mdx n="0" f="v">
      <t c="2">
        <n x="236"/>
        <n x="2"/>
      </t>
    </mdx>
    <mdx n="0" f="v">
      <t c="2">
        <n x="238"/>
        <n x="2"/>
      </t>
    </mdx>
    <mdx n="0" f="v">
      <t c="2">
        <n x="240"/>
        <n x="2"/>
      </t>
    </mdx>
    <mdx n="0" f="v">
      <t c="2">
        <n x="242"/>
        <n x="2"/>
      </t>
    </mdx>
    <mdx n="0" f="v">
      <t c="2">
        <n x="244"/>
        <n x="2"/>
      </t>
    </mdx>
    <mdx n="0" f="v">
      <t c="2">
        <n x="246"/>
        <n x="2"/>
      </t>
    </mdx>
    <mdx n="0" f="v">
      <t c="2">
        <n x="248"/>
        <n x="2"/>
      </t>
    </mdx>
    <mdx n="0" f="v">
      <t c="2">
        <n x="250"/>
        <n x="2"/>
      </t>
    </mdx>
    <mdx n="0" f="v">
      <t c="2">
        <n x="252"/>
        <n x="2"/>
      </t>
    </mdx>
    <mdx n="0" f="v">
      <t c="2">
        <n x="254"/>
        <n x="2"/>
      </t>
    </mdx>
    <mdx n="0" f="v">
      <t c="2">
        <n x="256"/>
        <n x="2"/>
      </t>
    </mdx>
    <mdx n="0" f="v">
      <t c="2">
        <n x="258"/>
        <n x="2"/>
      </t>
    </mdx>
    <mdx n="0" f="v">
      <t c="2">
        <n x="260"/>
        <n x="2"/>
      </t>
    </mdx>
    <mdx n="0" f="v">
      <t c="2">
        <n x="262"/>
        <n x="2"/>
      </t>
    </mdx>
    <mdx n="0" f="v">
      <t c="2">
        <n x="264"/>
        <n x="2"/>
      </t>
    </mdx>
    <mdx n="0" f="v">
      <t c="2">
        <n x="266"/>
        <n x="2"/>
      </t>
    </mdx>
    <mdx n="0" f="v">
      <t c="2">
        <n x="268"/>
        <n x="2"/>
      </t>
    </mdx>
    <mdx n="0" f="v">
      <t c="2">
        <n x="270"/>
        <n x="2"/>
      </t>
    </mdx>
    <mdx n="0" f="v">
      <t c="2">
        <n x="272"/>
        <n x="2"/>
      </t>
    </mdx>
    <mdx n="0" f="v">
      <t c="2">
        <n x="274"/>
        <n x="2"/>
      </t>
    </mdx>
    <mdx n="0" f="v">
      <t c="2">
        <n x="276"/>
        <n x="2"/>
      </t>
    </mdx>
    <mdx n="0" f="v">
      <t c="2">
        <n x="278"/>
        <n x="2"/>
      </t>
    </mdx>
    <mdx n="0" f="v">
      <t c="2">
        <n x="280"/>
        <n x="2"/>
      </t>
    </mdx>
    <mdx n="0" f="v">
      <t c="2">
        <n x="282"/>
        <n x="2"/>
      </t>
    </mdx>
    <mdx n="0" f="v">
      <t c="2">
        <n x="284"/>
        <n x="2"/>
      </t>
    </mdx>
    <mdx n="0" f="v">
      <t c="2">
        <n x="286"/>
        <n x="2"/>
      </t>
    </mdx>
    <mdx n="0" f="v">
      <t c="2">
        <n x="288"/>
        <n x="2"/>
      </t>
    </mdx>
    <mdx n="0" f="v">
      <t c="2">
        <n x="290"/>
        <n x="2"/>
      </t>
    </mdx>
    <mdx n="0" f="v">
      <t c="2">
        <n x="292"/>
        <n x="2"/>
      </t>
    </mdx>
    <mdx n="0" f="v">
      <t c="2">
        <n x="294"/>
        <n x="2"/>
      </t>
    </mdx>
    <mdx n="0" f="v">
      <t c="2">
        <n x="296"/>
        <n x="2"/>
      </t>
    </mdx>
    <mdx n="0" f="v">
      <t c="2">
        <n x="298"/>
        <n x="2"/>
      </t>
    </mdx>
    <mdx n="0" f="v">
      <t c="2">
        <n x="300"/>
        <n x="2"/>
      </t>
    </mdx>
    <mdx n="0" f="v">
      <t c="2">
        <n x="302"/>
        <n x="2"/>
      </t>
    </mdx>
    <mdx n="0" f="v">
      <t c="2">
        <n x="304"/>
        <n x="2"/>
      </t>
    </mdx>
    <mdx n="0" f="v">
      <t c="2">
        <n x="306"/>
        <n x="2"/>
      </t>
    </mdx>
    <mdx n="0" f="v">
      <t c="2">
        <n x="308"/>
        <n x="2"/>
      </t>
    </mdx>
    <mdx n="0" f="v">
      <t c="2">
        <n x="310"/>
        <n x="2"/>
      </t>
    </mdx>
    <mdx n="0" f="v">
      <t c="2">
        <n x="312"/>
        <n x="2"/>
      </t>
    </mdx>
    <mdx n="0" f="v">
      <t c="2">
        <n x="314"/>
        <n x="2"/>
      </t>
    </mdx>
    <mdx n="0" f="v">
      <t c="2">
        <n x="316"/>
        <n x="2"/>
      </t>
    </mdx>
    <mdx n="0" f="v">
      <t c="2">
        <n x="318"/>
        <n x="2"/>
      </t>
    </mdx>
    <mdx n="0" f="v">
      <t c="2">
        <n x="320"/>
        <n x="2"/>
      </t>
    </mdx>
    <mdx n="0" f="v">
      <t c="2">
        <n x="322"/>
        <n x="2"/>
      </t>
    </mdx>
    <mdx n="0" f="v">
      <t c="2">
        <n x="324"/>
        <n x="2"/>
      </t>
    </mdx>
    <mdx n="0" f="v">
      <t c="2">
        <n x="326"/>
        <n x="2"/>
      </t>
    </mdx>
    <mdx n="0" f="v">
      <t c="2">
        <n x="328"/>
        <n x="2"/>
      </t>
    </mdx>
    <mdx n="0" f="v">
      <t c="2">
        <n x="330"/>
        <n x="2"/>
      </t>
    </mdx>
    <mdx n="0" f="v">
      <t c="2">
        <n x="332"/>
        <n x="2"/>
      </t>
    </mdx>
    <mdx n="0" f="v">
      <t c="2">
        <n x="334"/>
        <n x="2"/>
      </t>
    </mdx>
    <mdx n="0" f="v">
      <t c="2">
        <n x="336"/>
        <n x="2"/>
      </t>
    </mdx>
    <mdx n="0" f="v">
      <t c="2">
        <n x="338"/>
        <n x="2"/>
      </t>
    </mdx>
    <mdx n="0" f="v">
      <t c="2">
        <n x="340"/>
        <n x="2"/>
      </t>
    </mdx>
    <mdx n="0" f="v">
      <t c="2">
        <n x="342"/>
        <n x="2"/>
      </t>
    </mdx>
    <mdx n="0" f="v">
      <t c="2">
        <n x="344"/>
        <n x="2"/>
      </t>
    </mdx>
    <mdx n="0" f="v">
      <t c="2">
        <n x="346"/>
        <n x="2"/>
      </t>
    </mdx>
    <mdx n="0" f="v">
      <t c="2">
        <n x="348"/>
        <n x="2"/>
      </t>
    </mdx>
    <mdx n="0" f="v">
      <t c="2">
        <n x="350"/>
        <n x="2"/>
      </t>
    </mdx>
    <mdx n="0" f="v">
      <t c="2">
        <n x="352"/>
        <n x="2"/>
      </t>
    </mdx>
    <mdx n="0" f="v">
      <t c="2">
        <n x="354"/>
        <n x="2"/>
      </t>
    </mdx>
    <mdx n="0" f="v">
      <t c="2">
        <n x="356"/>
        <n x="2"/>
      </t>
    </mdx>
    <mdx n="0" f="v">
      <t c="2">
        <n x="358"/>
        <n x="2"/>
      </t>
    </mdx>
    <mdx n="0" f="v">
      <t c="2">
        <n x="360"/>
        <n x="2"/>
      </t>
    </mdx>
    <mdx n="0" f="v">
      <t c="2">
        <n x="362"/>
        <n x="2"/>
      </t>
    </mdx>
    <mdx n="0" f="v">
      <t c="2">
        <n x="364"/>
        <n x="2"/>
      </t>
    </mdx>
    <mdx n="0" f="v">
      <t c="2">
        <n x="366"/>
        <n x="2"/>
      </t>
    </mdx>
    <mdx n="0" f="v">
      <t c="2">
        <n x="368"/>
        <n x="2"/>
      </t>
    </mdx>
    <mdx n="0" f="v">
      <t c="2">
        <n x="370"/>
        <n x="2"/>
      </t>
    </mdx>
    <mdx n="0" f="v">
      <t c="2">
        <n x="372"/>
        <n x="2"/>
      </t>
    </mdx>
    <mdx n="0" f="v">
      <t c="2">
        <n x="374"/>
        <n x="2"/>
      </t>
    </mdx>
    <mdx n="0" f="v">
      <t c="2">
        <n x="376"/>
        <n x="2"/>
      </t>
    </mdx>
    <mdx n="0" f="v">
      <t c="2">
        <n x="378"/>
        <n x="2"/>
      </t>
    </mdx>
    <mdx n="0" f="v">
      <t c="2">
        <n x="380"/>
        <n x="2"/>
      </t>
    </mdx>
    <mdx n="0" f="v">
      <t c="2">
        <n x="382"/>
        <n x="2"/>
      </t>
    </mdx>
    <mdx n="0" f="v">
      <t c="2">
        <n x="384"/>
        <n x="2"/>
      </t>
    </mdx>
    <mdx n="0" f="v">
      <t c="2">
        <n x="386"/>
        <n x="2"/>
      </t>
    </mdx>
    <mdx n="0" f="v">
      <t c="2">
        <n x="388"/>
        <n x="2"/>
      </t>
    </mdx>
    <mdx n="0" f="v">
      <t c="2">
        <n x="390"/>
        <n x="2"/>
      </t>
    </mdx>
  </mdxMetadata>
  <valueMetadata count="78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</valueMetadata>
</metadata>
</file>

<file path=xl/sharedStrings.xml><?xml version="1.0" encoding="utf-8"?>
<sst xmlns="http://schemas.openxmlformats.org/spreadsheetml/2006/main" count="3" uniqueCount="3">
  <si>
    <t>Color</t>
  </si>
  <si>
    <t>Filter rows</t>
  </si>
  <si>
    <t>Category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</si>
</sst>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/>
</styleSheet>
</file>

<file path=xl/volatileDependencies.xml><?xml version="1.0" encoding="utf-8"?>
<volTypes xmlns="http://schemas.openxmlformats.org/spreadsheetml/2006/main">
  <volType type="olapFunctions">
    <main first="xlextdat9 Adventure Works DW Adventure Works">
      <tp t="e">
        <v>#N/A</v>
        <stp>1</stp>
        <tr r="B3" s="1"/>
        <tr r="B5" s="1"/>
        <tr r="B7" s="1"/>
        <tr r="C9" s="1"/>
        <tr r="B11" s="1"/>
        <tr r="B13" s="1"/>
        <tr r="B15" s="1"/>
        <tr r="C17" s="1"/>
        <tr r="C19" s="1"/>
        <tr r="C21" s="1"/>
        <tr r="C23" s="1"/>
        <tr r="B25" s="1"/>
        <tr r="B27" s="1"/>
        <tr r="B29" s="1"/>
        <tr r="B31" s="1"/>
        <tr r="C33" s="1"/>
        <tr r="C35" s="1"/>
        <tr r="C37" s="1"/>
        <tr r="C39" s="1"/>
        <tr r="C41" s="1"/>
        <tr r="B44" s="1"/>
        <tr r="C46" s="1"/>
        <tr r="C48" s="1"/>
        <tr r="C50" s="1"/>
        <tr r="C52" s="1"/>
        <tr r="C54" s="1"/>
        <tr r="C56" s="1"/>
        <tr r="C58" s="1"/>
        <tr r="C60" s="1"/>
        <tr r="C62" s="1"/>
        <tr r="C64" s="1"/>
        <tr r="C66" s="1"/>
        <tr r="C68" s="1"/>
        <tr r="C70" s="1"/>
        <tr r="C72" s="1"/>
        <tr r="C74" s="1"/>
        <tr r="C76" s="1"/>
        <tr r="C78" s="1"/>
        <tr r="C80" s="1"/>
        <tr r="C82" s="1"/>
        <tr r="C84" s="1"/>
        <tr r="C86" s="1"/>
        <tr r="C88" s="1"/>
        <tr r="C90" s="1"/>
        <tr r="C92" s="1"/>
        <tr r="C94" s="1"/>
        <tr r="C96" s="1"/>
        <tr r="C98" s="1"/>
        <tr r="C100" s="1"/>
        <tr r="C102" s="1"/>
        <tr r="C104" s="1"/>
        <tr r="C106" s="1"/>
        <tr r="C108" s="1"/>
        <tr r="C110" s="1"/>
        <tr r="C112" s="1"/>
        <tr r="C114" s="1"/>
        <tr r="C116" s="1"/>
        <tr r="C118" s="1"/>
        <tr r="C120" s="1"/>
        <tr r="C122" s="1"/>
        <tr r="C124" s="1"/>
        <tr r="C126" s="1"/>
        <tr r="C128" s="1"/>
        <tr r="C130" s="1"/>
        <tr r="C132" s="1"/>
        <tr r="C134" s="1"/>
        <tr r="C136" s="1"/>
        <tr r="C138" s="1"/>
        <tr r="C140" s="1"/>
        <tr r="C142" s="1"/>
        <tr r="C144" s="1"/>
        <tr r="C146" s="1"/>
        <tr r="C4" s="1"/>
        <tr r="C6" s="1"/>
        <tr r="C8" s="1"/>
        <tr r="C10" s="1"/>
        <tr r="C12" s="1"/>
        <tr r="C14" s="1"/>
        <tr r="C16" s="1"/>
        <tr r="C18" s="1"/>
        <tr r="C20" s="1"/>
        <tr r="C22" s="1"/>
        <tr r="C24" s="1"/>
        <tr r="C26" s="1"/>
        <tr r="C28" s="1"/>
        <tr r="C30" s="1"/>
        <tr r="C32" s="1"/>
        <tr r="C34" s="1"/>
        <tr r="C36" s="1"/>
        <tr r="C38" s="1"/>
        <tr r="C40" s="1"/>
        <tr r="C42" s="1"/>
        <tr r="C45" s="1"/>
        <tr r="C47" s="1"/>
        <tr r="C49" s="1"/>
        <tr r="C51" s="1"/>
        <tr r="C53" s="1"/>
        <tr r="C55" s="1"/>
        <tr r="C57" s="1"/>
        <tr r="C59" s="1"/>
        <tr r="C61" s="1"/>
        <tr r="C63" s="1"/>
        <tr r="C65" s="1"/>
        <tr r="C67" s="1"/>
        <tr r="C69" s="1"/>
        <tr r="C71" s="1"/>
        <tr r="C73" s="1"/>
        <tr r="C75" s="1"/>
        <tr r="C77" s="1"/>
        <tr r="C79" s="1"/>
        <tr r="C81" s="1"/>
        <tr r="B83" s="1"/>
        <tr r="C85" s="1"/>
        <tr r="C87" s="1"/>
        <tr r="C89" s="1"/>
        <tr r="C91" s="1"/>
        <tr r="C93" s="1"/>
        <tr r="C95" s="1"/>
        <tr r="C97" s="1"/>
        <tr r="C99" s="1"/>
        <tr r="C101" s="1"/>
        <tr r="C103" s="1"/>
        <tr r="C105" s="1"/>
        <tr r="C107" s="1"/>
        <tr r="C109" s="1"/>
        <tr r="C111" s="1"/>
        <tr r="C113" s="1"/>
        <tr r="C115" s="1"/>
        <tr r="C117" s="1"/>
        <tr r="C119" s="1"/>
        <tr r="C121" s="1"/>
        <tr r="C123" s="1"/>
        <tr r="C125" s="1"/>
        <tr r="C127" s="1"/>
        <tr r="C129" s="1"/>
        <tr r="C131" s="1"/>
        <tr r="C133" s="1"/>
        <tr r="C135" s="1"/>
        <tr r="C137" s="1"/>
        <tr r="C139" s="1"/>
        <tr r="C141" s="1"/>
        <tr r="C143" s="1"/>
        <tr r="C145" s="1"/>
        <tr r="C148" s="1"/>
        <tr r="C150" s="1"/>
        <tr r="C152" s="1"/>
        <tr r="C154" s="1"/>
        <tr r="C156" s="1"/>
        <tr r="C158" s="1"/>
        <tr r="C160" s="1"/>
        <tr r="C162" s="1"/>
        <tr r="C164" s="1"/>
        <tr r="C166" s="1"/>
        <tr r="C168" s="1"/>
        <tr r="C170" s="1"/>
        <tr r="B173" s="1"/>
        <tr r="C175" s="1"/>
        <tr r="B177" s="1"/>
        <tr r="C179" s="1"/>
        <tr r="B181" s="1"/>
        <tr r="C183" s="1"/>
        <tr r="C185" s="1"/>
        <tr r="C187" s="1"/>
        <tr r="C189" s="1"/>
        <tr r="B191" s="1"/>
        <tr r="C193" s="1"/>
        <tr r="C195" s="1"/>
        <tr r="C197" s="1"/>
        <tr r="C199" s="1"/>
        <tr r="C201" s="1"/>
        <tr r="C203" s="1"/>
        <tr r="C205" s="1"/>
        <tr r="C207" s="1"/>
        <tr r="C209" s="1"/>
        <tr r="C211" s="1"/>
        <tr r="B213" s="1"/>
        <tr r="C215" s="1"/>
        <tr r="C217" s="1"/>
        <tr r="C219" s="1"/>
        <tr r="C221" s="1"/>
        <tr r="C223" s="1"/>
        <tr r="C225" s="1"/>
        <tr r="C228" s="1"/>
        <tr r="B230" s="1"/>
        <tr r="C232" s="1"/>
        <tr r="C234" s="1"/>
        <tr r="C236" s="1"/>
        <tr r="C238" s="1"/>
        <tr r="C240" s="1"/>
        <tr r="B242" s="1"/>
        <tr r="C244" s="1"/>
        <tr r="C246" s="1"/>
        <tr r="C248" s="1"/>
        <tr r="C250" s="1"/>
        <tr r="C252" s="1"/>
        <tr r="C254" s="1"/>
        <tr r="C256" s="1"/>
        <tr r="B258" s="1"/>
        <tr r="C260" s="1"/>
        <tr r="B262" s="1"/>
        <tr r="C264" s="1"/>
        <tr r="D3" s="1"/>
        <tr r="D5" s="1"/>
        <tr r="D7" s="1"/>
        <tr r="D9" s="1"/>
        <tr r="D11" s="1"/>
        <tr r="D13" s="1"/>
        <tr r="D15" s="1"/>
        <tr r="D17" s="1"/>
        <tr r="D19" s="1"/>
        <tr r="D21" s="1"/>
        <tr r="D23" s="1"/>
        <tr r="D25" s="1"/>
        <tr r="D27" s="1"/>
        <tr r="D29" s="1"/>
        <tr r="D31" s="1"/>
        <tr r="D33" s="1"/>
        <tr r="D35" s="1"/>
        <tr r="D37" s="1"/>
        <tr r="D39" s="1"/>
        <tr r="D41" s="1"/>
        <tr r="D43" s="1"/>
        <tr r="D45" s="1"/>
        <tr r="D47" s="1"/>
        <tr r="D49" s="1"/>
        <tr r="D51" s="1"/>
        <tr r="D53" s="1"/>
        <tr r="D55" s="1"/>
        <tr r="D57" s="1"/>
        <tr r="D59" s="1"/>
        <tr r="D61" s="1"/>
        <tr r="D63" s="1"/>
        <tr r="D65" s="1"/>
        <tr r="D67" s="1"/>
        <tr r="D69" s="1"/>
        <tr r="D71" s="1"/>
        <tr r="D73" s="1"/>
        <tr r="D75" s="1"/>
        <tr r="D77" s="1"/>
        <tr r="D79" s="1"/>
        <tr r="D81" s="1"/>
        <tr r="D83" s="1"/>
        <tr r="D85" s="1"/>
        <tr r="D87" s="1"/>
        <tr r="D89" s="1"/>
        <tr r="D91" s="1"/>
        <tr r="D93" s="1"/>
        <tr r="D95" s="1"/>
        <tr r="D97" s="1"/>
        <tr r="D99" s="1"/>
        <tr r="D101" s="1"/>
        <tr r="D103" s="1"/>
        <tr r="D105" s="1"/>
        <tr r="D107" s="1"/>
        <tr r="D109" s="1"/>
        <tr r="D111" s="1"/>
        <tr r="D113" s="1"/>
        <tr r="D115" s="1"/>
        <tr r="D117" s="1"/>
        <tr r="D119" s="1"/>
        <tr r="D121" s="1"/>
        <tr r="D123" s="1"/>
        <tr r="D125" s="1"/>
        <tr r="D127" s="1"/>
        <tr r="D129" s="1"/>
        <tr r="D131" s="1"/>
        <tr r="D133" s="1"/>
        <tr r="D135" s="1"/>
        <tr r="D137" s="1"/>
        <tr r="D139" s="1"/>
        <tr r="D141" s="1"/>
        <tr r="D143" s="1"/>
        <tr r="D145" s="1"/>
        <tr r="D147" s="1"/>
        <tr r="D149" s="1"/>
        <tr r="D151" s="1"/>
        <tr r="D153" s="1"/>
        <tr r="D155" s="1"/>
        <tr r="D157" s="1"/>
        <tr r="D159" s="1"/>
        <tr r="D161" s="1"/>
        <tr r="D163" s="1"/>
        <tr r="D165" s="1"/>
        <tr r="D167" s="1"/>
        <tr r="D169" s="1"/>
        <tr r="D171" s="1"/>
        <tr r="D173" s="1"/>
        <tr r="D175" s="1"/>
        <tr r="D177" s="1"/>
        <tr r="D179" s="1"/>
        <tr r="D181" s="1"/>
        <tr r="D183" s="1"/>
        <tr r="D185" s="1"/>
        <tr r="D187" s="1"/>
        <tr r="D189" s="1"/>
        <tr r="D191" s="1"/>
        <tr r="D193" s="1"/>
        <tr r="D195" s="1"/>
        <tr r="D197" s="1"/>
        <tr r="D199" s="1"/>
        <tr r="D201" s="1"/>
        <tr r="D203" s="1"/>
        <tr r="D205" s="1"/>
        <tr r="D207" s="1"/>
        <tr r="D209" s="1"/>
        <tr r="D211" s="1"/>
        <tr r="D213" s="1"/>
        <tr r="D215" s="1"/>
        <tr r="D217" s="1"/>
        <tr r="D219" s="1"/>
        <tr r="D221" s="1"/>
        <tr r="D223" s="1"/>
        <tr r="D225" s="1"/>
        <tr r="D227" s="1"/>
        <tr r="D229" s="1"/>
        <tr r="D231" s="1"/>
        <tr r="D233" s="1"/>
        <tr r="D235" s="1"/>
        <tr r="D237" s="1"/>
        <tr r="D239" s="1"/>
        <tr r="D241" s="1"/>
        <tr r="D243" s="1"/>
        <tr r="D245" s="1"/>
        <tr r="D247" s="1"/>
        <tr r="D249" s="1"/>
        <tr r="D251" s="1"/>
        <tr r="D253" s="1"/>
        <tr r="D255" s="1"/>
        <tr r="D257" s="1"/>
        <tr r="D259" s="1"/>
        <tr r="D261" s="1"/>
        <tr r="D263" s="1"/>
        <tr r="D265" s="1"/>
        <tr r="D266" s="1"/>
        <tr r="D267" s="1"/>
        <tr r="D268" s="1"/>
        <tr r="D269" s="1"/>
        <tr r="D270" s="1"/>
        <tr r="D271" s="1"/>
        <tr r="D272" s="1"/>
        <tr r="D273" s="1"/>
        <tr r="D274" s="1"/>
        <tr r="D275" s="1"/>
        <tr r="D276" s="1"/>
        <tr r="D277" s="1"/>
        <tr r="D278" s="1"/>
        <tr r="D279" s="1"/>
        <tr r="D280" s="1"/>
        <tr r="D281" s="1"/>
        <tr r="D282" s="1"/>
        <tr r="D283" s="1"/>
        <tr r="D284" s="1"/>
        <tr r="D285" s="1"/>
        <tr r="D286" s="1"/>
        <tr r="D287" s="1"/>
        <tr r="D288" s="1"/>
        <tr r="D289" s="1"/>
        <tr r="D290" s="1"/>
        <tr r="D291" s="1"/>
        <tr r="D292" s="1"/>
        <tr r="D293" s="1"/>
        <tr r="D294" s="1"/>
        <tr r="D295" s="1"/>
        <tr r="D296" s="1"/>
        <tr r="D297" s="1"/>
        <tr r="D298" s="1"/>
        <tr r="D299" s="1"/>
        <tr r="D300" s="1"/>
        <tr r="D301" s="1"/>
        <tr r="D302" s="1"/>
        <tr r="D303" s="1"/>
        <tr r="D304" s="1"/>
        <tr r="D305" s="1"/>
        <tr r="D306" s="1"/>
        <tr r="D307" s="1"/>
        <tr r="D308" s="1"/>
        <tr r="D309" s="1"/>
        <tr r="D310" s="1"/>
        <tr r="D311" s="1"/>
        <tr r="D312" s="1"/>
        <tr r="D313" s="1"/>
        <tr r="D314" s="1"/>
        <tr r="D315" s="1"/>
        <tr r="D316" s="1"/>
        <tr r="D317" s="1"/>
        <tr r="D318" s="1"/>
        <tr r="D319" s="1"/>
        <tr r="D320" s="1"/>
        <tr r="D321" s="1"/>
        <tr r="D322" s="1"/>
        <tr r="D323" s="1"/>
        <tr r="D324" s="1"/>
        <tr r="D325" s="1"/>
        <tr r="D326" s="1"/>
        <tr r="D327" s="1"/>
        <tr r="D328" s="1"/>
        <tr r="D329" s="1"/>
        <tr r="D330" s="1"/>
        <tr r="C331" s="1"/>
        <tr r="C147" s="1"/>
        <tr r="B149" s="1"/>
        <tr r="C151" s="1"/>
        <tr r="C153" s="1"/>
        <tr r="C155" s="1"/>
        <tr r="C157" s="1"/>
        <tr r="C159" s="1"/>
        <tr r="C161" s="1"/>
        <tr r="C163" s="1"/>
        <tr r="C165" s="1"/>
        <tr r="C167" s="1"/>
        <tr r="C169" s="1"/>
        <tr r="C171" s="1"/>
        <tr r="C174" s="1"/>
        <tr r="C176" s="1"/>
        <tr r="C178" s="1"/>
        <tr r="C180" s="1"/>
        <tr r="C182" s="1"/>
        <tr r="C184" s="1"/>
        <tr r="C186" s="1"/>
        <tr r="C188" s="1"/>
        <tr r="C190" s="1"/>
        <tr r="C192" s="1"/>
        <tr r="C194" s="1"/>
        <tr r="C196" s="1"/>
        <tr r="C198" s="1"/>
        <tr r="C200" s="1"/>
        <tr r="C202" s="1"/>
        <tr r="C204" s="1"/>
        <tr r="B206" s="1"/>
        <tr r="C208" s="1"/>
        <tr r="C210" s="1"/>
        <tr r="C212" s="1"/>
        <tr r="C214" s="1"/>
        <tr r="C216" s="1"/>
        <tr r="B218" s="1"/>
        <tr r="C220" s="1"/>
        <tr r="B222" s="1"/>
        <tr r="C224" s="1"/>
        <tr r="B227" s="1"/>
        <tr r="C229" s="1"/>
        <tr r="C231" s="1"/>
        <tr r="B233" s="1"/>
        <tr r="B235" s="1"/>
        <tr r="C237" s="1"/>
        <tr r="B239" s="1"/>
        <tr r="C241" s="1"/>
        <tr r="C243" s="1"/>
        <tr r="B245" s="1"/>
        <tr r="C247" s="1"/>
        <tr r="C249" s="1"/>
        <tr r="C251" s="1"/>
        <tr r="C253" s="1"/>
        <tr r="C255" s="1"/>
        <tr r="C257" s="1"/>
        <tr r="C259" s="1"/>
        <tr r="C261" s="1"/>
        <tr r="C263" s="1"/>
        <tr r="D2" s="1"/>
        <tr r="D4" s="1"/>
        <tr r="D6" s="1"/>
        <tr r="D8" s="1"/>
        <tr r="D10" s="1"/>
        <tr r="D12" s="1"/>
        <tr r="D14" s="1"/>
        <tr r="D16" s="1"/>
        <tr r="D18" s="1"/>
        <tr r="D20" s="1"/>
        <tr r="D22" s="1"/>
        <tr r="D24" s="1"/>
        <tr r="D26" s="1"/>
        <tr r="D28" s="1"/>
        <tr r="D30" s="1"/>
        <tr r="D32" s="1"/>
        <tr r="D34" s="1"/>
        <tr r="D36" s="1"/>
        <tr r="D38" s="1"/>
        <tr r="D40" s="1"/>
        <tr r="D42" s="1"/>
        <tr r="D44" s="1"/>
        <tr r="D46" s="1"/>
        <tr r="D48" s="1"/>
        <tr r="D50" s="1"/>
        <tr r="D52" s="1"/>
        <tr r="D54" s="1"/>
        <tr r="D56" s="1"/>
        <tr r="D58" s="1"/>
        <tr r="D60" s="1"/>
        <tr r="D62" s="1"/>
        <tr r="D64" s="1"/>
        <tr r="D66" s="1"/>
        <tr r="D68" s="1"/>
        <tr r="D70" s="1"/>
        <tr r="D72" s="1"/>
        <tr r="D74" s="1"/>
        <tr r="D76" s="1"/>
        <tr r="D78" s="1"/>
        <tr r="D80" s="1"/>
        <tr r="D82" s="1"/>
        <tr r="D84" s="1"/>
        <tr r="D86" s="1"/>
        <tr r="D88" s="1"/>
        <tr r="D90" s="1"/>
        <tr r="D92" s="1"/>
        <tr r="D94" s="1"/>
        <tr r="D96" s="1"/>
        <tr r="D98" s="1"/>
        <tr r="D100" s="1"/>
        <tr r="D102" s="1"/>
        <tr r="D104" s="1"/>
        <tr r="D106" s="1"/>
        <tr r="D108" s="1"/>
        <tr r="D110" s="1"/>
        <tr r="D112" s="1"/>
        <tr r="D114" s="1"/>
        <tr r="D116" s="1"/>
        <tr r="D118" s="1"/>
        <tr r="D120" s="1"/>
        <tr r="D122" s="1"/>
        <tr r="D124" s="1"/>
        <tr r="D126" s="1"/>
        <tr r="D128" s="1"/>
        <tr r="D130" s="1"/>
        <tr r="D132" s="1"/>
        <tr r="D134" s="1"/>
        <tr r="D136" s="1"/>
        <tr r="D138" s="1"/>
        <tr r="D140" s="1"/>
        <tr r="D142" s="1"/>
        <tr r="D144" s="1"/>
        <tr r="D146" s="1"/>
        <tr r="D148" s="1"/>
        <tr r="D150" s="1"/>
        <tr r="D152" s="1"/>
        <tr r="D154" s="1"/>
        <tr r="D156" s="1"/>
        <tr r="D158" s="1"/>
        <tr r="D160" s="1"/>
        <tr r="D162" s="1"/>
        <tr r="D164" s="1"/>
        <tr r="D166" s="1"/>
        <tr r="D168" s="1"/>
        <tr r="D170" s="1"/>
        <tr r="D172" s="1"/>
        <tr r="D174" s="1"/>
        <tr r="D176" s="1"/>
        <tr r="D178" s="1"/>
        <tr r="D180" s="1"/>
        <tr r="D182" s="1"/>
        <tr r="D184" s="1"/>
        <tr r="D186" s="1"/>
        <tr r="D188" s="1"/>
        <tr r="D190" s="1"/>
        <tr r="D192" s="1"/>
        <tr r="D194" s="1"/>
        <tr r="D196" s="1"/>
        <tr r="D198" s="1"/>
        <tr r="D200" s="1"/>
        <tr r="D202" s="1"/>
        <tr r="D204" s="1"/>
        <tr r="D206" s="1"/>
        <tr r="D208" s="1"/>
        <tr r="D210" s="1"/>
        <tr r="D212" s="1"/>
        <tr r="D214" s="1"/>
        <tr r="D216" s="1"/>
        <tr r="D218" s="1"/>
        <tr r="D220" s="1"/>
        <tr r="D222" s="1"/>
        <tr r="D224" s="1"/>
        <tr r="D226" s="1"/>
        <tr r="D228" s="1"/>
        <tr r="D230" s="1"/>
        <tr r="D232" s="1"/>
        <tr r="D234" s="1"/>
        <tr r="D236" s="1"/>
        <tr r="D238" s="1"/>
        <tr r="D240" s="1"/>
        <tr r="D242" s="1"/>
        <tr r="D244" s="1"/>
        <tr r="D246" s="1"/>
        <tr r="D248" s="1"/>
        <tr r="D250" s="1"/>
        <tr r="D252" s="1"/>
        <tr r="D254" s="1"/>
        <tr r="D256" s="1"/>
        <tr r="D258" s="1"/>
        <tr r="D260" s="1"/>
        <tr r="D262" s="1"/>
        <tr r="D264" s="1"/>
        <tr r="C265" s="1"/>
        <tr r="C266" s="1"/>
        <tr r="C267" s="1"/>
        <tr r="C268" s="1"/>
        <tr r="C269" s="1"/>
        <tr r="C270" s="1"/>
        <tr r="C271" s="1"/>
        <tr r="C272" s="1"/>
        <tr r="C273" s="1"/>
        <tr r="C274" s="1"/>
        <tr r="C275" s="1"/>
        <tr r="C276" s="1"/>
        <tr r="C277" s="1"/>
        <tr r="C278" s="1"/>
        <tr r="C279" s="1"/>
        <tr r="C280" s="1"/>
        <tr r="C281" s="1"/>
        <tr r="C282" s="1"/>
        <tr r="C283" s="1"/>
        <tr r="C284" s="1"/>
        <tr r="C285" s="1"/>
        <tr r="C286" s="1"/>
        <tr r="C287" s="1"/>
        <tr r="C288" s="1"/>
        <tr r="C289" s="1"/>
        <tr r="C290" s="1"/>
        <tr r="C291" s="1"/>
        <tr r="C292" s="1"/>
        <tr r="C293" s="1"/>
        <tr r="C294" s="1"/>
        <tr r="C295" s="1"/>
        <tr r="C296" s="1"/>
        <tr r="C297" s="1"/>
        <tr r="C298" s="1"/>
        <tr r="B299" s="1"/>
        <tr r="C300" s="1"/>
        <tr r="C301" s="1"/>
        <tr r="C302" s="1"/>
        <tr r="C303" s="1"/>
        <tr r="C304" s="1"/>
        <tr r="C305" s="1"/>
        <tr r="C306" s="1"/>
        <tr r="B307" s="1"/>
        <tr r="C308" s="1"/>
        <tr r="C309" s="1"/>
        <tr r="C310" s="1"/>
        <tr r="C311" s="1"/>
        <tr r="C312" s="1"/>
        <tr r="C313" s="1"/>
        <tr r="C314" s="1"/>
        <tr r="C315" s="1"/>
        <tr r="C316" s="1"/>
        <tr r="C317" s="1"/>
        <tr r="C318" s="1"/>
        <tr r="C319" s="1"/>
        <tr r="C320" s="1"/>
        <tr r="C321" s="1"/>
        <tr r="C322" s="1"/>
        <tr r="C323" s="1"/>
        <tr r="C324" s="1"/>
        <tr r="C325" s="1"/>
        <tr r="C326" s="1"/>
        <tr r="C327" s="1"/>
        <tr r="C328" s="1"/>
        <tr r="C329" s="1"/>
        <tr r="C330" s="1"/>
        <tr r="C332" s="1"/>
        <tr r="C333" s="1"/>
        <tr r="C334" s="1"/>
        <tr r="C335" s="1"/>
        <tr r="C336" s="1"/>
        <tr r="C337" s="1"/>
        <tr r="C338" s="1"/>
        <tr r="C339" s="1"/>
        <tr r="C340" s="1"/>
        <tr r="C341" s="1"/>
        <tr r="C342" s="1"/>
        <tr r="C343" s="1"/>
        <tr r="C344" s="1"/>
        <tr r="C345" s="1"/>
        <tr r="C346" s="1"/>
        <tr r="C347" s="1"/>
        <tr r="C348" s="1"/>
        <tr r="C349" s="1"/>
        <tr r="C350" s="1"/>
        <tr r="C351" s="1"/>
        <tr r="B352" s="1"/>
        <tr r="C353" s="1"/>
        <tr r="C354" s="1"/>
        <tr r="C355" s="1"/>
        <tr r="C356" s="1"/>
        <tr r="C357" s="1"/>
        <tr r="C358" s="1"/>
        <tr r="C359" s="1"/>
        <tr r="C360" s="1"/>
        <tr r="B361" s="1"/>
        <tr r="C362" s="1"/>
        <tr r="C363" s="1"/>
        <tr r="C364" s="1"/>
        <tr r="C365" s="1"/>
        <tr r="C366" s="1"/>
        <tr r="C367" s="1"/>
        <tr r="C368" s="1"/>
        <tr r="C369" s="1"/>
        <tr r="C370" s="1"/>
        <tr r="C371" s="1"/>
        <tr r="C372" s="1"/>
        <tr r="C373" s="1"/>
        <tr r="C374" s="1"/>
        <tr r="C375" s="1"/>
        <tr r="C376" s="1"/>
        <tr r="C377" s="1"/>
        <tr r="C378" s="1"/>
        <tr r="B379" s="1"/>
        <tr r="C380" s="1"/>
        <tr r="C381" s="1"/>
        <tr r="C382" s="1"/>
        <tr r="C383" s="1"/>
        <tr r="C384" s="1"/>
        <tr r="C385" s="1"/>
        <tr r="C386" s="1"/>
        <tr r="C387" s="1"/>
        <tr r="C388" s="1"/>
        <tr r="C389" s="1"/>
        <tr r="C390" s="1"/>
        <tr r="A2" s="1"/>
        <tr r="A4" s="1"/>
        <tr r="A6" s="1"/>
        <tr r="A8" s="1"/>
        <tr r="A10" s="1"/>
        <tr r="A12" s="1"/>
        <tr r="A14" s="1"/>
        <tr r="A16" s="1"/>
        <tr r="A18" s="1"/>
        <tr r="A20" s="1"/>
        <tr r="A22" s="1"/>
        <tr r="A24" s="1"/>
        <tr r="A26" s="1"/>
        <tr r="A28" s="1"/>
        <tr r="A30" s="1"/>
        <tr r="A32" s="1"/>
        <tr r="A34" s="1"/>
        <tr r="A36" s="1"/>
        <tr r="A38" s="1"/>
        <tr r="A40" s="1"/>
        <tr r="A42" s="1"/>
        <tr r="A44" s="1"/>
        <tr r="A46" s="1"/>
        <tr r="A48" s="1"/>
        <tr r="A50" s="1"/>
        <tr r="A52" s="1"/>
        <tr r="A54" s="1"/>
        <tr r="A56" s="1"/>
        <tr r="A58" s="1"/>
        <tr r="A60" s="1"/>
        <tr r="A62" s="1"/>
        <tr r="A64" s="1"/>
        <tr r="A66" s="1"/>
        <tr r="A68" s="1"/>
        <tr r="A70" s="1"/>
        <tr r="A72" s="1"/>
        <tr r="A74" s="1"/>
        <tr r="A76" s="1"/>
        <tr r="A78" s="1"/>
        <tr r="A80" s="1"/>
        <tr r="A82" s="1"/>
        <tr r="A84" s="1"/>
        <tr r="A86" s="1"/>
        <tr r="A88" s="1"/>
        <tr r="A90" s="1"/>
        <tr r="A92" s="1"/>
        <tr r="A94" s="1"/>
        <tr r="A96" s="1"/>
        <tr r="A98" s="1"/>
        <tr r="A100" s="1"/>
        <tr r="A102" s="1"/>
        <tr r="A104" s="1"/>
        <tr r="A106" s="1"/>
        <tr r="A108" s="1"/>
        <tr r="A110" s="1"/>
        <tr r="A112" s="1"/>
        <tr r="A114" s="1"/>
        <tr r="A116" s="1"/>
        <tr r="A118" s="1"/>
        <tr r="A120" s="1"/>
        <tr r="A122" s="1"/>
        <tr r="A124" s="1"/>
        <tr r="A126" s="1"/>
        <tr r="A128" s="1"/>
        <tr r="A130" s="1"/>
        <tr r="A132" s="1"/>
        <tr r="A134" s="1"/>
        <tr r="A136" s="1"/>
        <tr r="A138" s="1"/>
        <tr r="A140" s="1"/>
        <tr r="A142" s="1"/>
        <tr r="A144" s="1"/>
        <tr r="A146" s="1"/>
        <tr r="A148" s="1"/>
        <tr r="A150" s="1"/>
        <tr r="A152" s="1"/>
        <tr r="A154" s="1"/>
        <tr r="A156" s="1"/>
        <tr r="A158" s="1"/>
        <tr r="A160" s="1"/>
        <tr r="A162" s="1"/>
        <tr r="A164" s="1"/>
        <tr r="A166" s="1"/>
        <tr r="A168" s="1"/>
        <tr r="A170" s="1"/>
        <tr r="A172" s="1"/>
        <tr r="A174" s="1"/>
        <tr r="A176" s="1"/>
        <tr r="A178" s="1"/>
        <tr r="A180" s="1"/>
        <tr r="A182" s="1"/>
        <tr r="A184" s="1"/>
        <tr r="A186" s="1"/>
        <tr r="A188" s="1"/>
        <tr r="A190" s="1"/>
        <tr r="A192" s="1"/>
        <tr r="A194" s="1"/>
        <tr r="A196" s="1"/>
        <tr r="A198" s="1"/>
        <tr r="A200" s="1"/>
        <tr r="A202" s="1"/>
        <tr r="A204" s="1"/>
        <tr r="A206" s="1"/>
        <tr r="A208" s="1"/>
        <tr r="A210" s="1"/>
        <tr r="A212" s="1"/>
        <tr r="A214" s="1"/>
        <tr r="A216" s="1"/>
        <tr r="A218" s="1"/>
        <tr r="A220" s="1"/>
        <tr r="A222" s="1"/>
        <tr r="A224" s="1"/>
        <tr r="A226" s="1"/>
        <tr r="A228" s="1"/>
        <tr r="A230" s="1"/>
        <tr r="A232" s="1"/>
        <tr r="A234" s="1"/>
        <tr r="A236" s="1"/>
        <tr r="A238" s="1"/>
        <tr r="A240" s="1"/>
        <tr r="A242" s="1"/>
        <tr r="A244" s="1"/>
        <tr r="A246" s="1"/>
        <tr r="A248" s="1"/>
        <tr r="A250" s="1"/>
        <tr r="A252" s="1"/>
        <tr r="A254" s="1"/>
        <tr r="A256" s="1"/>
        <tr r="A258" s="1"/>
        <tr r="A260" s="1"/>
        <tr r="A262" s="1"/>
        <tr r="A264" s="1"/>
        <tr r="A266" s="1"/>
        <tr r="A268" s="1"/>
        <tr r="A270" s="1"/>
        <tr r="A272" s="1"/>
        <tr r="A274" s="1"/>
        <tr r="A276" s="1"/>
        <tr r="A278" s="1"/>
        <tr r="A280" s="1"/>
        <tr r="A282" s="1"/>
        <tr r="A284" s="1"/>
        <tr r="A286" s="1"/>
        <tr r="A288" s="1"/>
        <tr r="A290" s="1"/>
        <tr r="A292" s="1"/>
        <tr r="A294" s="1"/>
        <tr r="A296" s="1"/>
        <tr r="A298" s="1"/>
        <tr r="A300" s="1"/>
        <tr r="A302" s="1"/>
        <tr r="A304" s="1"/>
        <tr r="A306" s="1"/>
        <tr r="A308" s="1"/>
        <tr r="A310" s="1"/>
        <tr r="A312" s="1"/>
        <tr r="A314" s="1"/>
        <tr r="A316" s="1"/>
        <tr r="A318" s="1"/>
        <tr r="A320" s="1"/>
        <tr r="A322" s="1"/>
        <tr r="A324" s="1"/>
        <tr r="A326" s="1"/>
        <tr r="A328" s="1"/>
        <tr r="A330" s="1"/>
        <tr r="D332" s="1"/>
        <tr r="A332" s="1"/>
        <tr r="D334" s="1"/>
        <tr r="A334" s="1"/>
        <tr r="D336" s="1"/>
        <tr r="A336" s="1"/>
        <tr r="D338" s="1"/>
        <tr r="A338" s="1"/>
        <tr r="D340" s="1"/>
        <tr r="A340" s="1"/>
        <tr r="D342" s="1"/>
        <tr r="A342" s="1"/>
        <tr r="D344" s="1"/>
        <tr r="A344" s="1"/>
        <tr r="D346" s="1"/>
        <tr r="A346" s="1"/>
        <tr r="D348" s="1"/>
        <tr r="A348" s="1"/>
        <tr r="D350" s="1"/>
        <tr r="A350" s="1"/>
        <tr r="D352" s="1"/>
        <tr r="A352" s="1"/>
        <tr r="D354" s="1"/>
        <tr r="A354" s="1"/>
        <tr r="D356" s="1"/>
        <tr r="A356" s="1"/>
        <tr r="D358" s="1"/>
        <tr r="A358" s="1"/>
        <tr r="D360" s="1"/>
        <tr r="A360" s="1"/>
        <tr r="D362" s="1"/>
        <tr r="A362" s="1"/>
        <tr r="D364" s="1"/>
        <tr r="A364" s="1"/>
        <tr r="D366" s="1"/>
        <tr r="A366" s="1"/>
        <tr r="D368" s="1"/>
        <tr r="A368" s="1"/>
        <tr r="D370" s="1"/>
        <tr r="A370" s="1"/>
        <tr r="D372" s="1"/>
        <tr r="A372" s="1"/>
        <tr r="D374" s="1"/>
        <tr r="A374" s="1"/>
        <tr r="D376" s="1"/>
        <tr r="A376" s="1"/>
        <tr r="D378" s="1"/>
        <tr r="A378" s="1"/>
        <tr r="D380" s="1"/>
        <tr r="A380" s="1"/>
        <tr r="D382" s="1"/>
        <tr r="A382" s="1"/>
        <tr r="D384" s="1"/>
        <tr r="A384" s="1"/>
        <tr r="D386" s="1"/>
        <tr r="A386" s="1"/>
        <tr r="D388" s="1"/>
        <tr r="A388" s="1"/>
        <tr r="D390" s="1"/>
        <tr r="A390" s="1"/>
        <tr r="D391" s="1"/>
        <tr r="A391" s="1"/>
        <tr r="D331" s="1"/>
        <tr r="D333" s="1"/>
        <tr r="D335" s="1"/>
        <tr r="D337" s="1"/>
        <tr r="D339" s="1"/>
        <tr r="D341" s="1"/>
        <tr r="D343" s="1"/>
        <tr r="D345" s="1"/>
        <tr r="D347" s="1"/>
        <tr r="D349" s="1"/>
        <tr r="D351" s="1"/>
        <tr r="D353" s="1"/>
        <tr r="D355" s="1"/>
        <tr r="D357" s="1"/>
        <tr r="D359" s="1"/>
        <tr r="D361" s="1"/>
        <tr r="D363" s="1"/>
        <tr r="D365" s="1"/>
        <tr r="D367" s="1"/>
        <tr r="D369" s="1"/>
        <tr r="D371" s="1"/>
        <tr r="D373" s="1"/>
        <tr r="D375" s="1"/>
        <tr r="D377" s="1"/>
        <tr r="D379" s="1"/>
        <tr r="D381" s="1"/>
        <tr r="D383" s="1"/>
        <tr r="D385" s="1"/>
        <tr r="D387" s="1"/>
        <tr r="D389" s="1"/>
        <tr r="A3" s="1"/>
        <tr r="A5" s="1"/>
        <tr r="A7" s="1"/>
        <tr r="A9" s="1"/>
        <tr r="A11" s="1"/>
        <tr r="A13" s="1"/>
        <tr r="A15" s="1"/>
        <tr r="A17" s="1"/>
        <tr r="A19" s="1"/>
        <tr r="A21" s="1"/>
        <tr r="A23" s="1"/>
        <tr r="A25" s="1"/>
        <tr r="A27" s="1"/>
        <tr r="A29" s="1"/>
        <tr r="A31" s="1"/>
        <tr r="A33" s="1"/>
        <tr r="A35" s="1"/>
        <tr r="A37" s="1"/>
        <tr r="A39" s="1"/>
        <tr r="A41" s="1"/>
        <tr r="A43" s="1"/>
        <tr r="A45" s="1"/>
        <tr r="A47" s="1"/>
        <tr r="A49" s="1"/>
        <tr r="A51" s="1"/>
        <tr r="A53" s="1"/>
        <tr r="A55" s="1"/>
        <tr r="A57" s="1"/>
        <tr r="A59" s="1"/>
        <tr r="A61" s="1"/>
        <tr r="A63" s="1"/>
        <tr r="A65" s="1"/>
        <tr r="A67" s="1"/>
        <tr r="A69" s="1"/>
        <tr r="A71" s="1"/>
        <tr r="A73" s="1"/>
        <tr r="A75" s="1"/>
        <tr r="A77" s="1"/>
        <tr r="A79" s="1"/>
        <tr r="A81" s="1"/>
        <tr r="A83" s="1"/>
        <tr r="A85" s="1"/>
        <tr r="A87" s="1"/>
        <tr r="A89" s="1"/>
        <tr r="A91" s="1"/>
        <tr r="A93" s="1"/>
        <tr r="A95" s="1"/>
        <tr r="A97" s="1"/>
        <tr r="A99" s="1"/>
        <tr r="A101" s="1"/>
        <tr r="A103" s="1"/>
        <tr r="A105" s="1"/>
        <tr r="A107" s="1"/>
        <tr r="A109" s="1"/>
        <tr r="A111" s="1"/>
        <tr r="A113" s="1"/>
        <tr r="A115" s="1"/>
        <tr r="A117" s="1"/>
        <tr r="A119" s="1"/>
        <tr r="A121" s="1"/>
        <tr r="A123" s="1"/>
        <tr r="A125" s="1"/>
        <tr r="A127" s="1"/>
        <tr r="A129" s="1"/>
        <tr r="A131" s="1"/>
        <tr r="A133" s="1"/>
        <tr r="A135" s="1"/>
        <tr r="A137" s="1"/>
        <tr r="A139" s="1"/>
        <tr r="A141" s="1"/>
        <tr r="A143" s="1"/>
        <tr r="A145" s="1"/>
        <tr r="A147" s="1"/>
        <tr r="A149" s="1"/>
        <tr r="A151" s="1"/>
        <tr r="A153" s="1"/>
        <tr r="A155" s="1"/>
        <tr r="A157" s="1"/>
        <tr r="A159" s="1"/>
        <tr r="A161" s="1"/>
        <tr r="A163" s="1"/>
        <tr r="A165" s="1"/>
        <tr r="A167" s="1"/>
        <tr r="A169" s="1"/>
        <tr r="A171" s="1"/>
        <tr r="A173" s="1"/>
        <tr r="A175" s="1"/>
        <tr r="A177" s="1"/>
        <tr r="A179" s="1"/>
        <tr r="A181" s="1"/>
        <tr r="A183" s="1"/>
        <tr r="A185" s="1"/>
        <tr r="A187" s="1"/>
        <tr r="A189" s="1"/>
        <tr r="A191" s="1"/>
        <tr r="A193" s="1"/>
        <tr r="A195" s="1"/>
        <tr r="A197" s="1"/>
        <tr r="A199" s="1"/>
        <tr r="A201" s="1"/>
        <tr r="A203" s="1"/>
        <tr r="A205" s="1"/>
        <tr r="A207" s="1"/>
        <tr r="A209" s="1"/>
        <tr r="A211" s="1"/>
        <tr r="A213" s="1"/>
        <tr r="A215" s="1"/>
        <tr r="A217" s="1"/>
        <tr r="A219" s="1"/>
        <tr r="A221" s="1"/>
        <tr r="A223" s="1"/>
        <tr r="A225" s="1"/>
        <tr r="A227" s="1"/>
        <tr r="A229" s="1"/>
        <tr r="A231" s="1"/>
        <tr r="A233" s="1"/>
        <tr r="A235" s="1"/>
        <tr r="A237" s="1"/>
        <tr r="A239" s="1"/>
        <tr r="A241" s="1"/>
        <tr r="A243" s="1"/>
        <tr r="A245" s="1"/>
        <tr r="A247" s="1"/>
        <tr r="A249" s="1"/>
        <tr r="A251" s="1"/>
        <tr r="A253" s="1"/>
        <tr r="A255" s="1"/>
        <tr r="A257" s="1"/>
        <tr r="A259" s="1"/>
        <tr r="A261" s="1"/>
        <tr r="A263" s="1"/>
        <tr r="A265" s="1"/>
        <tr r="A267" s="1"/>
        <tr r="A269" s="1"/>
        <tr r="A271" s="1"/>
        <tr r="A273" s="1"/>
        <tr r="A275" s="1"/>
        <tr r="A277" s="1"/>
        <tr r="A279" s="1"/>
        <tr r="A281" s="1"/>
        <tr r="A283" s="1"/>
        <tr r="A285" s="1"/>
        <tr r="A287" s="1"/>
        <tr r="A289" s="1"/>
        <tr r="A291" s="1"/>
        <tr r="A293" s="1"/>
        <tr r="A295" s="1"/>
        <tr r="A297" s="1"/>
        <tr r="A299" s="1"/>
        <tr r="A301" s="1"/>
        <tr r="A303" s="1"/>
        <tr r="A305" s="1"/>
        <tr r="A307" s="1"/>
        <tr r="A309" s="1"/>
        <tr r="A311" s="1"/>
        <tr r="A313" s="1"/>
        <tr r="A315" s="1"/>
        <tr r="A317" s="1"/>
        <tr r="A319" s="1"/>
        <tr r="A321" s="1"/>
        <tr r="A323" s="1"/>
        <tr r="A325" s="1"/>
        <tr r="A327" s="1"/>
        <tr r="A329" s="1"/>
        <tr r="A331" s="1"/>
        <tr r="A333" s="1"/>
        <tr r="A335" s="1"/>
        <tr r="A337" s="1"/>
        <tr r="A339" s="1"/>
        <tr r="A341" s="1"/>
        <tr r="A343" s="1"/>
        <tr r="A345" s="1"/>
        <tr r="A347" s="1"/>
        <tr r="A349" s="1"/>
        <tr r="A351" s="1"/>
        <tr r="A353" s="1"/>
        <tr r="A355" s="1"/>
        <tr r="A357" s="1"/>
        <tr r="A359" s="1"/>
        <tr r="A361" s="1"/>
        <tr r="A363" s="1"/>
        <tr r="A365" s="1"/>
        <tr r="A367" s="1"/>
        <tr r="A369" s="1"/>
        <tr r="A371" s="1"/>
        <tr r="A373" s="1"/>
        <tr r="A375" s="1"/>
        <tr r="A377" s="1"/>
        <tr r="A379" s="1"/>
        <tr r="A381" s="1"/>
        <tr r="A383" s="1"/>
        <tr r="A385" s="1"/>
        <tr r="A387" s="1"/>
        <tr r="A389" s="1"/>
        <tr r="D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Zeenat Arsiwalla" refreshedDate="38694.454965277779" backgroundQuery="1" createdVersion="3" refreshedVersion="3" recordCount="0" tupleCache="1">
  <cacheSource type="external" connectionId="1"/>
  <cacheFields count="6">
    <cacheField name="[Measures].[MeasuresLevel]" caption="MeasuresLevel" numFmtId="0" hierarchy="87">
      <sharedItems count="1">
        <s v="[Measures].[Sales Amount]" c="Sales Amount"/>
      </sharedItems>
    </cacheField>
    <cacheField name="[Product].[Product Categories].[Category]" caption="Category" numFmtId="0" hierarchy="101" level="1">
      <sharedItems count="4">
        <s v="[Product].[Product Categories].[Category].&amp;[4]" c="Accessories"/>
        <s v="[Product].[Product Categories].[Category].&amp;[1]" c="Bikes"/>
        <s v="[Product].[Product Categories].[Category].&amp;[3]" c="Clothing"/>
        <s v="[Product].[Product Categories].[Category].&amp;[2]" c="Components"/>
      </sharedItems>
    </cacheField>
    <cacheField name="[Product].[Product Categories].[Subcategory]" caption="Subcategory" numFmtId="0" hierarchy="101" level="2" mappingCount="1">
      <sharedItems count="35">
        <s v="[Product].[Product Categories].[Subcategory].&amp;[26]" c="Bike Racks" cp="1">
          <x v="3"/>
        </s>
        <s v="[Product].[Product Categories].[Subcategory].&amp;[27]" c="Bike Stands" cp="1">
          <x v="3"/>
        </s>
        <s v="[Product].[Product Categories].[Subcategory].&amp;[28]" c="Bottles and Cages" cp="1">
          <x v="3"/>
        </s>
        <s v="[Product].[Product Categories].[Subcategory].&amp;[29]" c="Cleaners" cp="1">
          <x v="3"/>
        </s>
        <s v="[Product].[Product Categories].[Subcategory].&amp;[30]" c="Fenders" cp="1">
          <x v="3"/>
        </s>
        <s v="[Product].[Product Categories].[Subcategory].&amp;[31]" c="Helmets" cp="1">
          <x v="3"/>
        </s>
        <s v="[Product].[Product Categories].[Subcategory].&amp;[32]" c="Hydration Packs" cp="1">
          <x v="3"/>
        </s>
        <s v="[Product].[Product Categories].[Subcategory].&amp;[34]" c="Locks" cp="1">
          <x v="3"/>
        </s>
        <s v="[Product].[Product Categories].[Subcategory].&amp;[36]" c="Pumps" cp="1">
          <x v="3"/>
        </s>
        <s v="[Product].[Product Categories].[Subcategory].&amp;[37]" c="Tires and Tubes" cp="1">
          <x v="3"/>
        </s>
        <s v="[Product].[Product Categories].[Subcategory].&amp;[1]" c="Mountain Bikes" cp="1">
          <x v="2"/>
        </s>
        <s v="[Product].[Product Categories].[Subcategory].&amp;[2]" c="Road Bikes" cp="1">
          <x v="2"/>
        </s>
        <s v="[Product].[Product Categories].[Subcategory].&amp;[3]" c="Touring Bikes" cp="1">
          <x v="2"/>
        </s>
        <s v="[Product].[Product Categories].[Subcategory].&amp;[18]" c="Bib-Shorts" cp="1">
          <x v="1"/>
        </s>
        <s v="[Product].[Product Categories].[Subcategory].&amp;[19]" c="Caps" cp="1">
          <x v="1"/>
        </s>
        <s v="[Product].[Product Categories].[Subcategory].&amp;[20]" c="Gloves" cp="1">
          <x v="1"/>
        </s>
        <s v="[Product].[Product Categories].[Subcategory].&amp;[21]" c="Jerseys" cp="1">
          <x v="1"/>
        </s>
        <s v="[Product].[Product Categories].[Subcategory].&amp;[22]" c="Shorts" cp="1">
          <x v="1"/>
        </s>
        <s v="[Product].[Product Categories].[Subcategory].&amp;[23]" c="Socks" cp="1">
          <x v="1"/>
        </s>
        <s v="[Product].[Product Categories].[Subcategory].&amp;[24]" c="Tights" cp="1">
          <x v="1"/>
        </s>
        <s v="[Product].[Product Categories].[Subcategory].&amp;[25]" c="Vests" cp="1">
          <x v="1"/>
        </s>
        <s v="[Product].[Product Categories].[Subcategory].&amp;[5]" c="Bottom Brackets" cp="1">
          <x/>
        </s>
        <s v="[Product].[Product Categories].[Subcategory].&amp;[6]" c="Brakes" cp="1">
          <x/>
        </s>
        <s v="[Product].[Product Categories].[Subcategory].&amp;[7]" c="Chains" cp="1">
          <x/>
        </s>
        <s v="[Product].[Product Categories].[Subcategory].&amp;[8]" c="Cranksets" cp="1">
          <x/>
        </s>
        <s v="[Product].[Product Categories].[Subcategory].&amp;[9]" c="Derailleurs" cp="1">
          <x/>
        </s>
        <s v="[Product].[Product Categories].[Subcategory].&amp;[10]" c="Forks" cp="1">
          <x/>
        </s>
        <s v="[Product].[Product Categories].[Subcategory].&amp;[4]" c="Handlebars" cp="1">
          <x/>
        </s>
        <s v="[Product].[Product Categories].[Subcategory].&amp;[11]" c="Headsets" cp="1">
          <x/>
        </s>
        <s v="[Product].[Product Categories].[Subcategory].&amp;[12]" c="Mountain Frames" cp="1">
          <x/>
        </s>
        <s v="[Product].[Product Categories].[Subcategory].&amp;[13]" c="Pedals" cp="1">
          <x/>
        </s>
        <s v="[Product].[Product Categories].[Subcategory].&amp;[14]" c="Road Frames" cp="1">
          <x/>
        </s>
        <s v="[Product].[Product Categories].[Subcategory].&amp;[15]" c="Saddles" cp="1">
          <x/>
        </s>
        <s v="[Product].[Product Categories].[Subcategory].&amp;[16]" c="Touring Frames" cp="1">
          <x/>
        </s>
        <s v="[Product].[Product Categories].[Subcategory].&amp;[17]" c="Wheels" cp="1">
          <x/>
        </s>
      </sharedItems>
      <mpMap v="5"/>
    </cacheField>
    <cacheField name="[Product].[Product Categories].[Product Name]" caption="Product Name" numFmtId="0" hierarchy="101" level="3" mappingCount="1">
      <sharedItems count="350">
        <s v="[Product].[Product Categories].[Product Name].&amp;[483]" c="Hitch Rack - 4-Bike" cp="1">
          <x v="3"/>
        </s>
        <s v="[Product].[Product Categories].[Product Name].&amp;[486]" c="All-Purpose Bike Stand" cp="1">
          <x v="3"/>
        </s>
        <s v="[Product].[Product Categories].[Product Name].&amp;[477]" c="Water Bottle - 30 oz." cp="1">
          <x v="3"/>
        </s>
        <s v="[Product].[Product Categories].[Product Name].&amp;[478]" c="Mountain Bottle Cage" cp="1">
          <x v="3"/>
        </s>
        <s v="[Product].[Product Categories].[Product Name].&amp;[479]" c="Road Bottle Cage" cp="1">
          <x v="3"/>
        </s>
        <s v="[Product].[Product Categories].[Product Name].&amp;[484]" c="Bike Wash - Dissolver" cp="1">
          <x v="3"/>
        </s>
        <s v="[Product].[Product Categories].[Product Name].&amp;[485]" c="Fender Set - Mountain" cp="1">
          <x v="3"/>
        </s>
        <s v="[Product].[Product Categories].[Product Name].&amp;[212]" c="Sport-100 Helmet, Red" cp="1">
          <x v="4"/>
        </s>
        <s v="[Product].[Product Categories].[Product Name].&amp;[213]" c="Sport-100 Helmet, Red" cp="1">
          <x v="4"/>
        </s>
        <s v="[Product].[Product Categories].[Product Name].&amp;[214]" c="Sport-100 Helmet, Red" cp="1">
          <x v="4"/>
        </s>
        <s v="[Product].[Product Categories].[Product Name].&amp;[215]" c="Sport-100 Helmet, Black" cp="1">
          <x/>
        </s>
        <s v="[Product].[Product Categories].[Product Name].&amp;[216]" c="Sport-100 Helmet, Black" cp="1">
          <x/>
        </s>
        <s v="[Product].[Product Categories].[Product Name].&amp;[217]" c="Sport-100 Helmet, Black" cp="1">
          <x/>
        </s>
        <s v="[Product].[Product Categories].[Product Name].&amp;[220]" c="Sport-100 Helmet, Blue" cp="1">
          <x v="1"/>
        </s>
        <s v="[Product].[Product Categories].[Product Name].&amp;[221]" c="Sport-100 Helmet, Blue" cp="1">
          <x v="1"/>
        </s>
        <s v="[Product].[Product Categories].[Product Name].&amp;[222]" c="Sport-100 Helmet, Blue" cp="1">
          <x v="1"/>
        </s>
        <s v="[Product].[Product Categories].[Product Name].&amp;[487]" c="Hydration Pack - 70 oz." cp="1">
          <x v="6"/>
        </s>
        <s v="[Product].[Product Categories].[Product Name].&amp;[447]" c="Cable Lock" cp="1">
          <x v="3"/>
        </s>
        <s v="[Product].[Product Categories].[Product Name].&amp;[448]" c="Minipump" cp="1">
          <x v="3"/>
        </s>
        <s v="[Product].[Product Categories].[Product Name].&amp;[480]" c="Patch Kit/8 Patches" cp="1">
          <x v="3"/>
        </s>
        <s v="[Product].[Product Categories].[Product Name].&amp;[528]" c="Mountain Tire Tube" cp="1">
          <x v="3"/>
        </s>
        <s v="[Product].[Product Categories].[Product Name].&amp;[529]" c="Road Tire Tube" cp="1">
          <x v="3"/>
        </s>
        <s v="[Product].[Product Categories].[Product Name].&amp;[530]" c="Touring Tire Tube" cp="1">
          <x v="3"/>
        </s>
        <s v="[Product].[Product Categories].[Product Name].&amp;[535]" c="LL Mountain Tire" cp="1">
          <x v="3"/>
        </s>
        <s v="[Product].[Product Categories].[Product Name].&amp;[536]" c="ML Mountain Tire" cp="1">
          <x v="3"/>
        </s>
        <s v="[Product].[Product Categories].[Product Name].&amp;[537]" c="HL Mountain Tire" cp="1">
          <x v="3"/>
        </s>
        <s v="[Product].[Product Categories].[Product Name].&amp;[538]" c="LL Road Tire" cp="1">
          <x v="3"/>
        </s>
        <s v="[Product].[Product Categories].[Product Name].&amp;[539]" c="ML Road Tire" cp="1">
          <x v="3"/>
        </s>
        <s v="[Product].[Product Categories].[Product Name].&amp;[540]" c="HL Road Tire" cp="1">
          <x v="3"/>
        </s>
        <s v="[Product].[Product Categories].[Product Name].&amp;[541]" c="Touring Tire" cp="1">
          <x v="3"/>
        </s>
        <s v="[Product].[Product Categories].[Product Name].&amp;[344]" c="Mountain-100 Silver, 38" cp="1">
          <x v="6"/>
        </s>
        <s v="[Product].[Product Categories].[Product Name].&amp;[345]" c="Mountain-100 Silver, 42" cp="1">
          <x v="6"/>
        </s>
        <s v="[Product].[Product Categories].[Product Name].&amp;[346]" c="Mountain-100 Silver, 44" cp="1">
          <x v="6"/>
        </s>
        <s v="[Product].[Product Categories].[Product Name].&amp;[347]" c="Mountain-100 Silver, 48" cp="1">
          <x v="6"/>
        </s>
        <s v="[Product].[Product Categories].[Product Name].&amp;[348]" c="Mountain-100 Black, 38" cp="1">
          <x/>
        </s>
        <s v="[Product].[Product Categories].[Product Name].&amp;[349]" c="Mountain-100 Black, 42" cp="1">
          <x/>
        </s>
        <s v="[Product].[Product Categories].[Product Name].&amp;[350]" c="Mountain-100 Black, 44" cp="1">
          <x/>
        </s>
        <s v="[Product].[Product Categories].[Product Name].&amp;[351]" c="Mountain-100 Black, 48" cp="1">
          <x/>
        </s>
        <s v="[Product].[Product Categories].[Product Name].&amp;[352]" c="Mountain-200 Silver, 38" cp="1">
          <x v="6"/>
        </s>
        <s v="[Product].[Product Categories].[Product Name].&amp;[353]" c="Mountain-200 Silver, 38" cp="1">
          <x v="6"/>
        </s>
        <s v="[Product].[Product Categories].[Product Name].&amp;[354]" c="Mountain-200 Silver, 42" cp="1">
          <x v="6"/>
        </s>
        <s v="[Product].[Product Categories].[Product Name].&amp;[355]" c="Mountain-200 Silver, 42" cp="1">
          <x v="6"/>
        </s>
        <s v="[Product].[Product Categories].[Product Name].&amp;[356]" c="Mountain-200 Silver, 46" cp="1">
          <x v="6"/>
        </s>
        <s v="[Product].[Product Categories].[Product Name].&amp;[357]" c="Mountain-200 Silver, 46" cp="1">
          <x v="6"/>
        </s>
        <s v="[Product].[Product Categories].[Product Name].&amp;[358]" c="Mountain-200 Black, 38" cp="1">
          <x/>
        </s>
        <s v="[Product].[Product Categories].[Product Name].&amp;[359]" c="Mountain-200 Black, 38" cp="1">
          <x/>
        </s>
        <s v="[Product].[Product Categories].[Product Name].&amp;[360]" c="Mountain-200 Black, 42" cp="1">
          <x/>
        </s>
        <s v="[Product].[Product Categories].[Product Name].&amp;[361]" c="Mountain-200 Black, 42" cp="1">
          <x/>
        </s>
        <s v="[Product].[Product Categories].[Product Name].&amp;[362]" c="Mountain-200 Black, 46" cp="1">
          <x/>
        </s>
        <s v="[Product].[Product Categories].[Product Name].&amp;[363]" c="Mountain-200 Black, 46" cp="1">
          <x/>
        </s>
        <s v="[Product].[Product Categories].[Product Name].&amp;[364]" c="Mountain-300 Black, 38" cp="1">
          <x/>
        </s>
        <s v="[Product].[Product Categories].[Product Name].&amp;[365]" c="Mountain-300 Black, 40" cp="1">
          <x/>
        </s>
        <s v="[Product].[Product Categories].[Product Name].&amp;[366]" c="Mountain-300 Black, 44" cp="1">
          <x/>
        </s>
        <s v="[Product].[Product Categories].[Product Name].&amp;[367]" c="Mountain-300 Black, 48" cp="1">
          <x/>
        </s>
        <s v="[Product].[Product Categories].[Product Name].&amp;[587]" c="Mountain-400-W Silver, 38" cp="1">
          <x v="6"/>
        </s>
        <s v="[Product].[Product Categories].[Product Name].&amp;[588]" c="Mountain-400-W Silver, 40" cp="1">
          <x v="6"/>
        </s>
        <s v="[Product].[Product Categories].[Product Name].&amp;[589]" c="Mountain-400-W Silver, 42" cp="1">
          <x v="6"/>
        </s>
        <s v="[Product].[Product Categories].[Product Name].&amp;[590]" c="Mountain-400-W Silver, 46" cp="1">
          <x v="6"/>
        </s>
        <s v="[Product].[Product Categories].[Product Name].&amp;[591]" c="Mountain-500 Silver, 40" cp="1">
          <x v="6"/>
        </s>
        <s v="[Product].[Product Categories].[Product Name].&amp;[592]" c="Mountain-500 Silver, 42" cp="1">
          <x v="6"/>
        </s>
        <s v="[Product].[Product Categories].[Product Name].&amp;[593]" c="Mountain-500 Silver, 44" cp="1">
          <x v="6"/>
        </s>
        <s v="[Product].[Product Categories].[Product Name].&amp;[594]" c="Mountain-500 Silver, 48" cp="1">
          <x v="6"/>
        </s>
        <s v="[Product].[Product Categories].[Product Name].&amp;[595]" c="Mountain-500 Silver, 52" cp="1">
          <x v="6"/>
        </s>
        <s v="[Product].[Product Categories].[Product Name].&amp;[596]" c="Mountain-500 Black, 40" cp="1">
          <x/>
        </s>
        <s v="[Product].[Product Categories].[Product Name].&amp;[597]" c="Mountain-500 Black, 42" cp="1">
          <x/>
        </s>
        <s v="[Product].[Product Categories].[Product Name].&amp;[598]" c="Mountain-500 Black, 44" cp="1">
          <x/>
        </s>
        <s v="[Product].[Product Categories].[Product Name].&amp;[599]" c="Mountain-500 Black, 48" cp="1">
          <x/>
        </s>
        <s v="[Product].[Product Categories].[Product Name].&amp;[600]" c="Mountain-500 Black, 52" cp="1">
          <x/>
        </s>
        <s v="[Product].[Product Categories].[Product Name].&amp;[310]" c="Road-150 Red, 62" cp="1">
          <x v="4"/>
        </s>
        <s v="[Product].[Product Categories].[Product Name].&amp;[311]" c="Road-150 Red, 44" cp="1">
          <x v="4"/>
        </s>
        <s v="[Product].[Product Categories].[Product Name].&amp;[312]" c="Road-150 Red, 48" cp="1">
          <x v="4"/>
        </s>
        <s v="[Product].[Product Categories].[Product Name].&amp;[313]" c="Road-150 Red, 52" cp="1">
          <x v="4"/>
        </s>
        <s v="[Product].[Product Categories].[Product Name].&amp;[314]" c="Road-150 Red, 56" cp="1">
          <x v="4"/>
        </s>
        <s v="[Product].[Product Categories].[Product Name].&amp;[315]" c="Road-450 Red, 58" cp="1">
          <x v="4"/>
        </s>
        <s v="[Product].[Product Categories].[Product Name].&amp;[316]" c="Road-450 Red, 60" cp="1">
          <x v="4"/>
        </s>
        <s v="[Product].[Product Categories].[Product Name].&amp;[317]" c="Road-450 Red, 44" cp="1">
          <x v="4"/>
        </s>
        <s v="[Product].[Product Categories].[Product Name].&amp;[318]" c="Road-450 Red, 48" cp="1">
          <x v="4"/>
        </s>
        <s v="[Product].[Product Categories].[Product Name].&amp;[319]" c="Road-450 Red, 52" cp="1">
          <x v="4"/>
        </s>
        <s v="[Product].[Product Categories].[Product Name].&amp;[320]" c="Road-650 Red, 58" cp="1">
          <x v="4"/>
        </s>
        <s v="[Product].[Product Categories].[Product Name].&amp;[321]" c="Road-650 Red, 58" cp="1">
          <x v="4"/>
        </s>
        <s v="[Product].[Product Categories].[Product Name].&amp;[322]" c="Road-650 Red, 60" cp="1">
          <x v="4"/>
        </s>
        <s v="[Product].[Product Categories].[Product Name].&amp;[323]" c="Road-650 Red, 60" cp="1">
          <x v="4"/>
        </s>
        <s v="[Product].[Product Categories].[Product Name].&amp;[324]" c="Road-650 Red, 62" cp="1">
          <x v="4"/>
        </s>
        <s v="[Product].[Product Categories].[Product Name].&amp;[325]" c="Road-650 Red, 62" cp="1">
          <x v="4"/>
        </s>
        <s v="[Product].[Product Categories].[Product Name].&amp;[326]" c="Road-650 Red, 44" cp="1">
          <x v="4"/>
        </s>
        <s v="[Product].[Product Categories].[Product Name].&amp;[327]" c="Road-650 Red, 44" cp="1">
          <x v="4"/>
        </s>
        <s v="[Product].[Product Categories].[Product Name].&amp;[328]" c="Road-650 Red, 48" cp="1">
          <x v="4"/>
        </s>
        <s v="[Product].[Product Categories].[Product Name].&amp;[329]" c="Road-650 Red, 48" cp="1">
          <x v="4"/>
        </s>
        <s v="[Product].[Product Categories].[Product Name].&amp;[330]" c="Road-650 Red, 52" cp="1">
          <x v="4"/>
        </s>
        <s v="[Product].[Product Categories].[Product Name].&amp;[331]" c="Road-650 Red, 52" cp="1">
          <x v="4"/>
        </s>
        <s v="[Product].[Product Categories].[Product Name].&amp;[332]" c="Road-650 Black, 58" cp="1">
          <x/>
        </s>
        <s v="[Product].[Product Categories].[Product Name].&amp;[333]" c="Road-650 Black, 58" cp="1">
          <x/>
        </s>
        <s v="[Product].[Product Categories].[Product Name].&amp;[334]" c="Road-650 Black, 60" cp="1">
          <x/>
        </s>
        <s v="[Product].[Product Categories].[Product Name].&amp;[335]" c="Road-650 Black, 60" cp="1">
          <x/>
        </s>
        <s v="[Product].[Product Categories].[Product Name].&amp;[336]" c="Road-650 Black, 62" cp="1">
          <x/>
        </s>
        <s v="[Product].[Product Categories].[Product Name].&amp;[337]" c="Road-650 Black, 62" cp="1">
          <x/>
        </s>
        <s v="[Product].[Product Categories].[Product Name].&amp;[338]" c="Road-650 Black, 44" cp="1">
          <x/>
        </s>
        <s v="[Product].[Product Categories].[Product Name].&amp;[339]" c="Road-650 Black, 44" cp="1">
          <x/>
        </s>
        <s v="[Product].[Product Categories].[Product Name].&amp;[340]" c="Road-650 Black, 48" cp="1">
          <x/>
        </s>
        <s v="[Product].[Product Categories].[Product Name].&amp;[341]" c="Road-650 Black, 48" cp="1">
          <x/>
        </s>
        <s v="[Product].[Product Categories].[Product Name].&amp;[342]" c="Road-650 Black, 52" cp="1">
          <x/>
        </s>
        <s v="[Product].[Product Categories].[Product Name].&amp;[343]" c="Road-650 Black, 52" cp="1">
          <x/>
        </s>
        <s v="[Product].[Product Categories].[Product Name].&amp;[368]" c="Road-250 Red, 44" cp="1">
          <x v="4"/>
        </s>
        <s v="[Product].[Product Categories].[Product Name].&amp;[369]" c="Road-250 Red, 48" cp="1">
          <x v="4"/>
        </s>
        <s v="[Product].[Product Categories].[Product Name].&amp;[370]" c="Road-250 Red, 52" cp="1">
          <x v="4"/>
        </s>
        <s v="[Product].[Product Categories].[Product Name].&amp;[371]" c="Road-250 Red, 58" cp="1">
          <x v="4"/>
        </s>
        <s v="[Product].[Product Categories].[Product Name].&amp;[372]" c="Road-250 Red, 58" cp="1">
          <x v="4"/>
        </s>
        <s v="[Product].[Product Categories].[Product Name].&amp;[373]" c="Road-250 Black, 44" cp="1">
          <x/>
        </s>
        <s v="[Product].[Product Categories].[Product Name].&amp;[374]" c="Road-250 Black, 44" cp="1">
          <x/>
        </s>
        <s v="[Product].[Product Categories].[Product Name].&amp;[375]" c="Road-250 Black, 48" cp="1">
          <x/>
        </s>
        <s v="[Product].[Product Categories].[Product Name].&amp;[376]" c="Road-250 Black, 48" cp="1">
          <x/>
        </s>
        <s v="[Product].[Product Categories].[Product Name].&amp;[377]" c="Road-250 Black, 52" cp="1">
          <x/>
        </s>
        <s v="[Product].[Product Categories].[Product Name].&amp;[378]" c="Road-250 Black, 52" cp="1">
          <x/>
        </s>
        <s v="[Product].[Product Categories].[Product Name].&amp;[379]" c="Road-250 Black, 58" cp="1">
          <x/>
        </s>
        <s v="[Product].[Product Categories].[Product Name].&amp;[380]" c="Road-250 Black, 58" cp="1">
          <x/>
        </s>
        <s v="[Product].[Product Categories].[Product Name].&amp;[381]" c="Road-550-W Yellow, 38" cp="1">
          <x v="2"/>
        </s>
        <s v="[Product].[Product Categories].[Product Name].&amp;[382]" c="Road-550-W Yellow, 38" cp="1">
          <x v="2"/>
        </s>
        <s v="[Product].[Product Categories].[Product Name].&amp;[383]" c="Road-550-W Yellow, 40" cp="1">
          <x v="2"/>
        </s>
        <s v="[Product].[Product Categories].[Product Name].&amp;[384]" c="Road-550-W Yellow, 40" cp="1">
          <x v="2"/>
        </s>
        <s v="[Product].[Product Categories].[Product Name].&amp;[385]" c="Road-550-W Yellow, 42" cp="1">
          <x v="2"/>
        </s>
        <s v="[Product].[Product Categories].[Product Name].&amp;[386]" c="Road-550-W Yellow, 42" cp="1">
          <x v="2"/>
        </s>
        <s v="[Product].[Product Categories].[Product Name].&amp;[387]" c="Road-550-W Yellow, 44" cp="1">
          <x v="2"/>
        </s>
        <s v="[Product].[Product Categories].[Product Name].&amp;[388]" c="Road-550-W Yellow, 44" cp="1">
          <x v="2"/>
        </s>
        <s v="[Product].[Product Categories].[Product Name].&amp;[389]" c="Road-550-W Yellow, 48" cp="1">
          <x v="2"/>
        </s>
        <s v="[Product].[Product Categories].[Product Name].&amp;[390]" c="Road-550-W Yellow, 48" cp="1">
          <x v="2"/>
        </s>
        <s v="[Product].[Product Categories].[Product Name].&amp;[580]" c="Road-350-W Yellow, 40" cp="1">
          <x v="2"/>
        </s>
        <s v="[Product].[Product Categories].[Product Name].&amp;[581]" c="Road-350-W Yellow, 42" cp="1">
          <x v="2"/>
        </s>
        <s v="[Product].[Product Categories].[Product Name].&amp;[582]" c="Road-350-W Yellow, 44" cp="1">
          <x v="2"/>
        </s>
        <s v="[Product].[Product Categories].[Product Name].&amp;[583]" c="Road-350-W Yellow, 48" cp="1">
          <x v="2"/>
        </s>
        <s v="[Product].[Product Categories].[Product Name].&amp;[584]" c="Road-750 Black, 58" cp="1">
          <x/>
        </s>
        <s v="[Product].[Product Categories].[Product Name].&amp;[604]" c="Road-750 Black, 44" cp="1">
          <x/>
        </s>
        <s v="[Product].[Product Categories].[Product Name].&amp;[605]" c="Road-750 Black, 48" cp="1">
          <x/>
        </s>
        <s v="[Product].[Product Categories].[Product Name].&amp;[606]" c="Road-750 Black, 52" cp="1">
          <x/>
        </s>
        <s v="[Product].[Product Categories].[Product Name].&amp;[560]" c="Touring-2000 Blue, 60" cp="1">
          <x v="1"/>
        </s>
        <s v="[Product].[Product Categories].[Product Name].&amp;[561]" c="Touring-1000 Yellow, 46" cp="1">
          <x v="2"/>
        </s>
        <s v="[Product].[Product Categories].[Product Name].&amp;[562]" c="Touring-1000 Yellow, 50" cp="1">
          <x v="2"/>
        </s>
        <s v="[Product].[Product Categories].[Product Name].&amp;[563]" c="Touring-1000 Yellow, 54" cp="1">
          <x v="2"/>
        </s>
        <s v="[Product].[Product Categories].[Product Name].&amp;[564]" c="Touring-1000 Yellow, 60" cp="1">
          <x v="2"/>
        </s>
        <s v="[Product].[Product Categories].[Product Name].&amp;[565]" c="Touring-3000 Blue, 54" cp="1">
          <x v="1"/>
        </s>
        <s v="[Product].[Product Categories].[Product Name].&amp;[566]" c="Touring-3000 Blue, 58" cp="1">
          <x v="1"/>
        </s>
        <s v="[Product].[Product Categories].[Product Name].&amp;[567]" c="Touring-3000 Blue, 62" cp="1">
          <x v="1"/>
        </s>
        <s v="[Product].[Product Categories].[Product Name].&amp;[568]" c="Touring-3000 Yellow, 44" cp="1">
          <x v="2"/>
        </s>
        <s v="[Product].[Product Categories].[Product Name].&amp;[569]" c="Touring-3000 Yellow, 50" cp="1">
          <x v="2"/>
        </s>
        <s v="[Product].[Product Categories].[Product Name].&amp;[570]" c="Touring-3000 Yellow, 54" cp="1">
          <x v="2"/>
        </s>
        <s v="[Product].[Product Categories].[Product Name].&amp;[571]" c="Touring-3000 Yellow, 58" cp="1">
          <x v="2"/>
        </s>
        <s v="[Product].[Product Categories].[Product Name].&amp;[572]" c="Touring-3000 Yellow, 62" cp="1">
          <x v="2"/>
        </s>
        <s v="[Product].[Product Categories].[Product Name].&amp;[573]" c="Touring-1000 Blue, 46" cp="1">
          <x v="1"/>
        </s>
        <s v="[Product].[Product Categories].[Product Name].&amp;[574]" c="Touring-1000 Blue, 50" cp="1">
          <x v="1"/>
        </s>
        <s v="[Product].[Product Categories].[Product Name].&amp;[575]" c="Touring-1000 Blue, 54" cp="1">
          <x v="1"/>
        </s>
        <s v="[Product].[Product Categories].[Product Name].&amp;[576]" c="Touring-1000 Blue, 60" cp="1">
          <x v="1"/>
        </s>
        <s v="[Product].[Product Categories].[Product Name].&amp;[577]" c="Touring-2000 Blue, 46" cp="1">
          <x v="1"/>
        </s>
        <s v="[Product].[Product Categories].[Product Name].&amp;[578]" c="Touring-2000 Blue, 50" cp="1">
          <x v="1"/>
        </s>
        <s v="[Product].[Product Categories].[Product Name].&amp;[579]" c="Touring-2000 Blue, 54" cp="1">
          <x v="1"/>
        </s>
        <s v="[Product].[Product Categories].[Product Name].&amp;[585]" c="Touring-3000 Blue, 44" cp="1">
          <x v="1"/>
        </s>
        <s v="[Product].[Product Categories].[Product Name].&amp;[586]" c="Touring-3000 Blue, 50" cp="1">
          <x v="1"/>
        </s>
        <s v="[Product].[Product Categories].[Product Name].&amp;[459]" c="Men's Bib-Shorts, S" cp="1">
          <x v="8"/>
        </s>
        <s v="[Product].[Product Categories].[Product Name].&amp;[460]" c="Men's Bib-Shorts, M" cp="1">
          <x v="8"/>
        </s>
        <s v="[Product].[Product Categories].[Product Name].&amp;[461]" c="Men's Bib-Shorts, L" cp="1">
          <x v="8"/>
        </s>
        <s v="[Product].[Product Categories].[Product Name].&amp;[223]" c="AWC Logo Cap" cp="1">
          <x v="8"/>
        </s>
        <s v="[Product].[Product Categories].[Product Name].&amp;[224]" c="AWC Logo Cap" cp="1">
          <x v="8"/>
        </s>
        <s v="[Product].[Product Categories].[Product Name].&amp;[225]" c="AWC Logo Cap" cp="1">
          <x v="8"/>
        </s>
        <s v="[Product].[Product Categories].[Product Name].&amp;[462]" c="Half-Finger Gloves, S" cp="1">
          <x/>
        </s>
        <s v="[Product].[Product Categories].[Product Name].&amp;[463]" c="Half-Finger Gloves, S" cp="1">
          <x/>
        </s>
        <s v="[Product].[Product Categories].[Product Name].&amp;[464]" c="Half-Finger Gloves, M" cp="1">
          <x/>
        </s>
        <s v="[Product].[Product Categories].[Product Name].&amp;[465]" c="Half-Finger Gloves, M" cp="1">
          <x/>
        </s>
        <s v="[Product].[Product Categories].[Product Name].&amp;[466]" c="Half-Finger Gloves, L" cp="1">
          <x/>
        </s>
        <s v="[Product].[Product Categories].[Product Name].&amp;[467]" c="Half-Finger Gloves, L" cp="1">
          <x/>
        </s>
        <s v="[Product].[Product Categories].[Product Name].&amp;[468]" c="Full-Finger Gloves, S" cp="1">
          <x/>
        </s>
        <s v="[Product].[Product Categories].[Product Name].&amp;[469]" c="Full-Finger Gloves, M" cp="1">
          <x/>
        </s>
        <s v="[Product].[Product Categories].[Product Name].&amp;[470]" c="Full-Finger Gloves, L" cp="1">
          <x/>
        </s>
        <s v="[Product].[Product Categories].[Product Name].&amp;[228]" c="Long-Sleeve Logo Jersey, S" cp="1">
          <x v="8"/>
        </s>
        <s v="[Product].[Product Categories].[Product Name].&amp;[229]" c="Long-Sleeve Logo Jersey, M" cp="1">
          <x v="8"/>
        </s>
        <s v="[Product].[Product Categories].[Product Name].&amp;[230]" c="Long-Sleeve Logo Jersey, M" cp="1">
          <x v="8"/>
        </s>
        <s v="[Product].[Product Categories].[Product Name].&amp;[231]" c="Long-Sleeve Logo Jersey, M" cp="1">
          <x v="8"/>
        </s>
        <s v="[Product].[Product Categories].[Product Name].&amp;[232]" c="Long-Sleeve Logo Jersey, L" cp="1">
          <x v="8"/>
        </s>
        <s v="[Product].[Product Categories].[Product Name].&amp;[233]" c="Long-Sleeve Logo Jersey, L" cp="1">
          <x v="8"/>
        </s>
        <s v="[Product].[Product Categories].[Product Name].&amp;[234]" c="Long-Sleeve Logo Jersey, L" cp="1">
          <x v="8"/>
        </s>
        <s v="[Product].[Product Categories].[Product Name].&amp;[235]" c="Long-Sleeve Logo Jersey, XL" cp="1">
          <x v="8"/>
        </s>
        <s v="[Product].[Product Categories].[Product Name].&amp;[236]" c="Long-Sleeve Logo Jersey, XL" cp="1">
          <x v="8"/>
        </s>
        <s v="[Product].[Product Categories].[Product Name].&amp;[237]" c="Long-Sleeve Logo Jersey, XL" cp="1">
          <x v="8"/>
        </s>
        <s v="[Product].[Product Categories].[Product Name].&amp;[488]" c="Short-Sleeve Classic Jersey, S" cp="1">
          <x v="2"/>
        </s>
        <s v="[Product].[Product Categories].[Product Name].&amp;[489]" c="Short-Sleeve Classic Jersey, M" cp="1">
          <x v="2"/>
        </s>
        <s v="[Product].[Product Categories].[Product Name].&amp;[490]" c="Short-Sleeve Classic Jersey, L" cp="1">
          <x v="2"/>
        </s>
        <s v="[Product].[Product Categories].[Product Name].&amp;[491]" c="Short-Sleeve Classic Jersey, XL" cp="1">
          <x v="2"/>
        </s>
        <s v="[Product].[Product Categories].[Product Name].&amp;[445]" c="Men's Sports Shorts, S" cp="1">
          <x/>
        </s>
        <s v="[Product].[Product Categories].[Product Name].&amp;[453]" c="Men's Sports Shorts, M" cp="1">
          <x/>
        </s>
        <s v="[Product].[Product Categories].[Product Name].&amp;[454]" c="Men's Sports Shorts, L" cp="1">
          <x/>
        </s>
        <s v="[Product].[Product Categories].[Product Name].&amp;[474]" c="Women's Mountain Shorts, S" cp="1">
          <x/>
        </s>
        <s v="[Product].[Product Categories].[Product Name].&amp;[475]" c="Women's Mountain Shorts, M" cp="1">
          <x/>
        </s>
        <s v="[Product].[Product Categories].[Product Name].&amp;[476]" c="Women's Mountain Shorts, L" cp="1">
          <x/>
        </s>
        <s v="[Product].[Product Categories].[Product Name].&amp;[218]" c="Mountain Bike Socks, M" cp="1">
          <x v="7"/>
        </s>
        <s v="[Product].[Product Categories].[Product Name].&amp;[219]" c="Mountain Bike Socks, L" cp="1">
          <x v="7"/>
        </s>
        <s v="[Product].[Product Categories].[Product Name].&amp;[481]" c="Racing Socks, M" cp="1">
          <x v="7"/>
        </s>
        <s v="[Product].[Product Categories].[Product Name].&amp;[482]" c="Racing Socks, L" cp="1">
          <x v="7"/>
        </s>
        <s v="[Product].[Product Categories].[Product Name].&amp;[456]" c="Women's Tights, S" cp="1">
          <x/>
        </s>
        <s v="[Product].[Product Categories].[Product Name].&amp;[457]" c="Women's Tights, M" cp="1">
          <x/>
        </s>
        <s v="[Product].[Product Categories].[Product Name].&amp;[458]" c="Women's Tights, L" cp="1">
          <x/>
        </s>
        <s v="[Product].[Product Categories].[Product Name].&amp;[471]" c="Classic Vest, S" cp="1">
          <x v="1"/>
        </s>
        <s v="[Product].[Product Categories].[Product Name].&amp;[472]" c="Classic Vest, M" cp="1">
          <x v="1"/>
        </s>
        <s v="[Product].[Product Categories].[Product Name].&amp;[473]" c="Classic Vest, L" cp="1">
          <x v="1"/>
        </s>
        <s v="[Product].[Product Categories].[Product Name].&amp;[601]" c="LL Bottom Bracket" cp="1">
          <x v="3"/>
        </s>
        <s v="[Product].[Product Categories].[Product Name].&amp;[603]" c="HL Bottom Bracket" cp="1">
          <x v="3"/>
        </s>
        <s v="[Product].[Product Categories].[Product Name].&amp;[514]" c="Rear Brakes" cp="1">
          <x v="6"/>
        </s>
        <s v="[Product].[Product Categories].[Product Name].&amp;[555]" c="Front Brakes" cp="1">
          <x v="6"/>
        </s>
        <s v="[Product].[Product Categories].[Product Name].&amp;[559]" c="Chain" cp="1">
          <x v="6"/>
        </s>
        <s v="[Product].[Product Categories].[Product Name].&amp;[556]" c="LL Crankset" cp="1">
          <x/>
        </s>
        <s v="[Product].[Product Categories].[Product Name].&amp;[557]" c="ML Crankset" cp="1">
          <x/>
        </s>
        <s v="[Product].[Product Categories].[Product Name].&amp;[558]" c="HL Crankset" cp="1">
          <x/>
        </s>
        <s v="[Product].[Product Categories].[Product Name].&amp;[501]" c="Rear Derailleur" cp="1">
          <x v="6"/>
        </s>
        <s v="[Product].[Product Categories].[Product Name].&amp;[552]" c="Front Derailleur" cp="1">
          <x v="6"/>
        </s>
        <s v="[Product].[Product Categories].[Product Name].&amp;[391]" c="LL Fork" cp="1">
          <x v="3"/>
        </s>
        <s v="[Product].[Product Categories].[Product Name].&amp;[393]" c="HL Fork" cp="1">
          <x v="3"/>
        </s>
        <s v="[Product].[Product Categories].[Product Name].&amp;[397]" c="LL Mountain Handlebars" cp="1">
          <x v="3"/>
        </s>
        <s v="[Product].[Product Categories].[Product Name].&amp;[398]" c="LL Mountain Handlebars" cp="1">
          <x v="3"/>
        </s>
        <s v="[Product].[Product Categories].[Product Name].&amp;[399]" c="ML Mountain Handlebars" cp="1">
          <x v="3"/>
        </s>
        <s v="[Product].[Product Categories].[Product Name].&amp;[400]" c="ML Mountain Handlebars" cp="1">
          <x v="3"/>
        </s>
        <s v="[Product].[Product Categories].[Product Name].&amp;[401]" c="HL Mountain Handlebars" cp="1">
          <x v="3"/>
        </s>
        <s v="[Product].[Product Categories].[Product Name].&amp;[402]" c="HL Mountain Handlebars" cp="1">
          <x v="3"/>
        </s>
        <s v="[Product].[Product Categories].[Product Name].&amp;[403]" c="LL Road Handlebars" cp="1">
          <x v="3"/>
        </s>
        <s v="[Product].[Product Categories].[Product Name].&amp;[404]" c="LL Road Handlebars" cp="1">
          <x v="3"/>
        </s>
        <s v="[Product].[Product Categories].[Product Name].&amp;[407]" c="HL Road Handlebars" cp="1">
          <x v="3"/>
        </s>
        <s v="[Product].[Product Categories].[Product Name].&amp;[408]" c="HL Road Handlebars" cp="1">
          <x v="3"/>
        </s>
        <s v="[Product].[Product Categories].[Product Name].&amp;[553]" c="LL Touring Handlebars" cp="1">
          <x v="3"/>
        </s>
        <s v="[Product].[Product Categories].[Product Name].&amp;[554]" c="HL Touring Handlebars" cp="1">
          <x v="3"/>
        </s>
        <s v="[Product].[Product Categories].[Product Name].&amp;[394]" c="LL Headset" cp="1">
          <x v="3"/>
        </s>
        <s v="[Product].[Product Categories].[Product Name].&amp;[395]" c="ML Headset" cp="1">
          <x v="3"/>
        </s>
        <s v="[Product].[Product Categories].[Product Name].&amp;[396]" c="HL Headset" cp="1">
          <x v="3"/>
        </s>
        <s v="[Product].[Product Categories].[Product Name].&amp;[288]" c="HL Mountain Frame - Silver, 42" cp="1">
          <x v="6"/>
        </s>
        <s v="[Product].[Product Categories].[Product Name].&amp;[289]" c="HL Mountain Frame - Silver, 42" cp="1">
          <x v="6"/>
        </s>
        <s v="[Product].[Product Categories].[Product Name].&amp;[290]" c="HL Mountain Frame - Silver, 42" cp="1">
          <x v="6"/>
        </s>
        <s v="[Product].[Product Categories].[Product Name].&amp;[292]" c="HL Mountain Frame - Silver, 48" cp="1">
          <x v="6"/>
        </s>
        <s v="[Product].[Product Categories].[Product Name].&amp;[293]" c="HL Mountain Frame - Silver, 46" cp="1">
          <x v="6"/>
        </s>
        <s v="[Product].[Product Categories].[Product Name].&amp;[294]" c="HL Mountain Frame - Silver, 46" cp="1">
          <x v="6"/>
        </s>
        <s v="[Product].[Product Categories].[Product Name].&amp;[295]" c="HL Mountain Frame - Silver, 46" cp="1">
          <x v="6"/>
        </s>
        <s v="[Product].[Product Categories].[Product Name].&amp;[296]" c="HL Mountain Frame - Black, 42" cp="1">
          <x/>
        </s>
        <s v="[Product].[Product Categories].[Product Name].&amp;[297]" c="HL Mountain Frame - Black, 42" cp="1">
          <x/>
        </s>
        <s v="[Product].[Product Categories].[Product Name].&amp;[298]" c="HL Mountain Frame - Black, 42" cp="1">
          <x/>
        </s>
        <s v="[Product].[Product Categories].[Product Name].&amp;[299]" c="HL Mountain Frame - Black, 44" cp="1">
          <x/>
        </s>
        <s v="[Product].[Product Categories].[Product Name].&amp;[300]" c="HL Mountain Frame - Black, 48" cp="1">
          <x/>
        </s>
        <s v="[Product].[Product Categories].[Product Name].&amp;[304]" c="HL Mountain Frame - Black, 38" cp="1">
          <x/>
        </s>
        <s v="[Product].[Product Categories].[Product Name].&amp;[305]" c="HL Mountain Frame - Black, 38" cp="1">
          <x/>
        </s>
        <s v="[Product].[Product Categories].[Product Name].&amp;[306]" c="HL Mountain Frame - Black, 38" cp="1">
          <x/>
        </s>
        <s v="[Product].[Product Categories].[Product Name].&amp;[307]" c="HL Mountain Frame - Silver, 38" cp="1">
          <x v="6"/>
        </s>
        <s v="[Product].[Product Categories].[Product Name].&amp;[308]" c="HL Mountain Frame - Silver, 38" cp="1">
          <x v="6"/>
        </s>
        <s v="[Product].[Product Categories].[Product Name].&amp;[309]" c="HL Mountain Frame - Silver, 38" cp="1">
          <x v="6"/>
        </s>
        <s v="[Product].[Product Categories].[Product Name].&amp;[409]" c="ML Mountain Frame - Black, 38" cp="1">
          <x/>
        </s>
        <s v="[Product].[Product Categories].[Product Name].&amp;[426]" c="ML Mountain Frame - Black, 40" cp="1">
          <x/>
        </s>
        <s v="[Product].[Product Categories].[Product Name].&amp;[427]" c="ML Mountain Frame - Black, 44" cp="1">
          <x/>
        </s>
        <s v="[Product].[Product Categories].[Product Name].&amp;[428]" c="ML Mountain Frame - Black, 48" cp="1">
          <x/>
        </s>
        <s v="[Product].[Product Categories].[Product Name].&amp;[511]" c="ML Mountain Frame-W - Silver, 40" cp="1">
          <x v="6"/>
        </s>
        <s v="[Product].[Product Categories].[Product Name].&amp;[512]" c="ML Mountain Frame-W - Silver, 42" cp="1">
          <x v="6"/>
        </s>
        <s v="[Product].[Product Categories].[Product Name].&amp;[513]" c="ML Mountain Frame-W - Silver, 46" cp="1">
          <x v="6"/>
        </s>
        <s v="[Product].[Product Categories].[Product Name].&amp;[524]" c="LL Mountain Frame - Silver, 42" cp="1">
          <x v="6"/>
        </s>
        <s v="[Product].[Product Categories].[Product Name].&amp;[525]" c="LL Mountain Frame - Silver, 44" cp="1">
          <x v="6"/>
        </s>
        <s v="[Product].[Product Categories].[Product Name].&amp;[526]" c="LL Mountain Frame - Silver, 48" cp="1">
          <x v="6"/>
        </s>
        <s v="[Product].[Product Categories].[Product Name].&amp;[527]" c="LL Mountain Frame - Silver, 52" cp="1">
          <x v="6"/>
        </s>
        <s v="[Product].[Product Categories].[Product Name].&amp;[531]" c="LL Mountain Frame - Black, 42" cp="1">
          <x/>
        </s>
        <s v="[Product].[Product Categories].[Product Name].&amp;[532]" c="LL Mountain Frame - Black, 44" cp="1">
          <x/>
        </s>
        <s v="[Product].[Product Categories].[Product Name].&amp;[533]" c="LL Mountain Frame - Black, 48" cp="1">
          <x/>
        </s>
        <s v="[Product].[Product Categories].[Product Name].&amp;[534]" c="LL Mountain Frame - Black, 52" cp="1">
          <x/>
        </s>
        <s v="[Product].[Product Categories].[Product Name].&amp;[549]" c="ML Mountain Frame-W - Silver, 38" cp="1">
          <x v="6"/>
        </s>
        <s v="[Product].[Product Categories].[Product Name].&amp;[550]" c="LL Mountain Frame - Black, 40" cp="1">
          <x/>
        </s>
        <s v="[Product].[Product Categories].[Product Name].&amp;[551]" c="LL Mountain Frame - Silver, 40" cp="1">
          <x v="6"/>
        </s>
        <s v="[Product].[Product Categories].[Product Name].&amp;[542]" c="LL Mountain Pedal" cp="1">
          <x v="5"/>
        </s>
        <s v="[Product].[Product Categories].[Product Name].&amp;[543]" c="ML Mountain Pedal" cp="1">
          <x v="5"/>
        </s>
        <s v="[Product].[Product Categories].[Product Name].&amp;[544]" c="HL Mountain Pedal" cp="1">
          <x v="5"/>
        </s>
        <s v="[Product].[Product Categories].[Product Name].&amp;[545]" c="LL Road Pedal" cp="1">
          <x v="5"/>
        </s>
        <s v="[Product].[Product Categories].[Product Name].&amp;[546]" c="ML Road Pedal" cp="1">
          <x v="5"/>
        </s>
        <s v="[Product].[Product Categories].[Product Name].&amp;[547]" c="HL Road Pedal" cp="1">
          <x v="5"/>
        </s>
        <s v="[Product].[Product Categories].[Product Name].&amp;[548]" c="Touring Pedal" cp="1">
          <x v="5"/>
        </s>
        <s v="[Product].[Product Categories].[Product Name].&amp;[238]" c="HL Road Frame - Red, 62" cp="1">
          <x v="4"/>
        </s>
        <s v="[Product].[Product Categories].[Product Name].&amp;[239]" c="HL Road Frame - Red, 62" cp="1">
          <x v="4"/>
        </s>
        <s v="[Product].[Product Categories].[Product Name].&amp;[240]" c="HL Road Frame - Red, 62" cp="1">
          <x v="4"/>
        </s>
        <s v="[Product].[Product Categories].[Product Name].&amp;[241]" c="HL Road Frame - Red, 44" cp="1">
          <x v="4"/>
        </s>
        <s v="[Product].[Product Categories].[Product Name].&amp;[242]" c="HL Road Frame - Red, 44" cp="1">
          <x v="4"/>
        </s>
        <s v="[Product].[Product Categories].[Product Name].&amp;[243]" c="HL Road Frame - Red, 44" cp="1">
          <x v="4"/>
        </s>
        <s v="[Product].[Product Categories].[Product Name].&amp;[245]" c="HL Road Frame - Red, 48" cp="1">
          <x v="4"/>
        </s>
        <s v="[Product].[Product Categories].[Product Name].&amp;[246]" c="HL Road Frame - Red, 48" cp="1">
          <x v="4"/>
        </s>
        <s v="[Product].[Product Categories].[Product Name].&amp;[253]" c="LL Road Frame - Black, 58" cp="1">
          <x/>
        </s>
        <s v="[Product].[Product Categories].[Product Name].&amp;[254]" c="LL Road Frame - Black, 58" cp="1">
          <x/>
        </s>
        <s v="[Product].[Product Categories].[Product Name].&amp;[255]" c="LL Road Frame - Black, 58" cp="1">
          <x/>
        </s>
        <s v="[Product].[Product Categories].[Product Name].&amp;[256]" c="LL Road Frame - Black, 60" cp="1">
          <x/>
        </s>
        <s v="[Product].[Product Categories].[Product Name].&amp;[257]" c="LL Road Frame - Black, 60" cp="1">
          <x/>
        </s>
        <s v="[Product].[Product Categories].[Product Name].&amp;[258]" c="LL Road Frame - Black, 60" cp="1">
          <x/>
        </s>
        <s v="[Product].[Product Categories].[Product Name].&amp;[262]" c="LL Road Frame - Red, 44" cp="1">
          <x v="4"/>
        </s>
        <s v="[Product].[Product Categories].[Product Name].&amp;[263]" c="LL Road Frame - Red, 44" cp="1">
          <x v="4"/>
        </s>
        <s v="[Product].[Product Categories].[Product Name].&amp;[264]" c="LL Road Frame - Red, 48" cp="1">
          <x v="4"/>
        </s>
        <s v="[Product].[Product Categories].[Product Name].&amp;[265]" c="LL Road Frame - Red, 48" cp="1">
          <x v="4"/>
        </s>
        <s v="[Product].[Product Categories].[Product Name].&amp;[266]" c="LL Road Frame - Red, 52" cp="1">
          <x v="4"/>
        </s>
        <s v="[Product].[Product Categories].[Product Name].&amp;[267]" c="LL Road Frame - Red, 52" cp="1">
          <x v="4"/>
        </s>
        <s v="[Product].[Product Categories].[Product Name].&amp;[270]" c="LL Road Frame - Red, 60" cp="1">
          <x v="4"/>
        </s>
        <s v="[Product].[Product Categories].[Product Name].&amp;[271]" c="LL Road Frame - Red, 60" cp="1">
          <x v="4"/>
        </s>
        <s v="[Product].[Product Categories].[Product Name].&amp;[272]" c="LL Road Frame - Red, 62" cp="1">
          <x v="4"/>
        </s>
        <s v="[Product].[Product Categories].[Product Name].&amp;[273]" c="LL Road Frame - Red, 62" cp="1">
          <x v="4"/>
        </s>
        <s v="[Product].[Product Categories].[Product Name].&amp;[275]" c="ML Road Frame - Red, 48" cp="1">
          <x v="4"/>
        </s>
        <s v="[Product].[Product Categories].[Product Name].&amp;[276]" c="ML Road Frame - Red, 52" cp="1">
          <x v="4"/>
        </s>
        <s v="[Product].[Product Categories].[Product Name].&amp;[279]" c="LL Road Frame - Black, 44" cp="1">
          <x/>
        </s>
        <s v="[Product].[Product Categories].[Product Name].&amp;[280]" c="LL Road Frame - Black, 44" cp="1">
          <x/>
        </s>
        <s v="[Product].[Product Categories].[Product Name].&amp;[281]" c="LL Road Frame - Black, 44" cp="1">
          <x/>
        </s>
        <s v="[Product].[Product Categories].[Product Name].&amp;[285]" c="LL Road Frame - Black, 52" cp="1">
          <x/>
        </s>
        <s v="[Product].[Product Categories].[Product Name].&amp;[286]" c="LL Road Frame - Black, 52" cp="1">
          <x/>
        </s>
        <s v="[Product].[Product Categories].[Product Name].&amp;[287]" c="LL Road Frame - Black, 52" cp="1">
          <x/>
        </s>
        <s v="[Product].[Product Categories].[Product Name].&amp;[417]" c="ML Road Frame-W - Yellow, 38" cp="1">
          <x v="2"/>
        </s>
        <s v="[Product].[Product Categories].[Product Name].&amp;[418]" c="ML Road Frame-W - Yellow, 38" cp="1">
          <x v="2"/>
        </s>
        <s v="[Product].[Product Categories].[Product Name].&amp;[429]" c="ML Road Frame-W - Yellow, 40" cp="1">
          <x v="2"/>
        </s>
        <s v="[Product].[Product Categories].[Product Name].&amp;[430]" c="ML Road Frame-W - Yellow, 40" cp="1">
          <x v="2"/>
        </s>
        <s v="[Product].[Product Categories].[Product Name].&amp;[433]" c="ML Road Frame-W - Yellow, 44" cp="1">
          <x v="2"/>
        </s>
        <s v="[Product].[Product Categories].[Product Name].&amp;[434]" c="ML Road Frame-W - Yellow, 44" cp="1">
          <x v="2"/>
        </s>
        <s v="[Product].[Product Categories].[Product Name].&amp;[435]" c="ML Road Frame-W - Yellow, 48" cp="1">
          <x v="2"/>
        </s>
        <s v="[Product].[Product Categories].[Product Name].&amp;[436]" c="ML Road Frame-W - Yellow, 48" cp="1">
          <x v="2"/>
        </s>
        <s v="[Product].[Product Categories].[Product Name].&amp;[439]" c="HL Road Frame - Black, 44" cp="1">
          <x/>
        </s>
        <s v="[Product].[Product Categories].[Product Name].&amp;[440]" c="HL Road Frame - Black, 44" cp="1">
          <x/>
        </s>
        <s v="[Product].[Product Categories].[Product Name].&amp;[441]" c="HL Road Frame - Black, 48" cp="1">
          <x/>
        </s>
        <s v="[Product].[Product Categories].[Product Name].&amp;[442]" c="HL Road Frame - Black, 48" cp="1">
          <x/>
        </s>
        <s v="[Product].[Product Categories].[Product Name].&amp;[515]" c="LL Mountain Seat/Saddle" cp="1">
          <x v="3"/>
        </s>
        <s v="[Product].[Product Categories].[Product Name].&amp;[516]" c="ML Mountain Seat/Saddle" cp="1">
          <x v="3"/>
        </s>
        <s v="[Product].[Product Categories].[Product Name].&amp;[517]" c="HL Mountain Seat/Saddle" cp="1">
          <x v="3"/>
        </s>
        <s v="[Product].[Product Categories].[Product Name].&amp;[518]" c="LL Road Seat/Saddle" cp="1">
          <x v="3"/>
        </s>
        <s v="[Product].[Product Categories].[Product Name].&amp;[520]" c="HL Road Seat/Saddle" cp="1">
          <x v="3"/>
        </s>
        <s v="[Product].[Product Categories].[Product Name].&amp;[521]" c="LL Touring Seat/Saddle" cp="1">
          <x v="3"/>
        </s>
        <s v="[Product].[Product Categories].[Product Name].&amp;[522]" c="ML Touring Seat/Saddle" cp="1">
          <x v="3"/>
        </s>
        <s v="[Product].[Product Categories].[Product Name].&amp;[523]" c="HL Touring Seat/Saddle" cp="1">
          <x v="3"/>
        </s>
        <s v="[Product].[Product Categories].[Product Name].&amp;[492]" c="HL Touring Frame - Yellow, 60" cp="1">
          <x v="2"/>
        </s>
        <s v="[Product].[Product Categories].[Product Name].&amp;[493]" c="LL Touring Frame - Yellow, 62" cp="1">
          <x v="2"/>
        </s>
        <s v="[Product].[Product Categories].[Product Name].&amp;[494]" c="HL Touring Frame - Yellow, 46" cp="1">
          <x v="2"/>
        </s>
        <s v="[Product].[Product Categories].[Product Name].&amp;[495]" c="HL Touring Frame - Yellow, 50" cp="1">
          <x v="2"/>
        </s>
        <s v="[Product].[Product Categories].[Product Name].&amp;[496]" c="HL Touring Frame - Yellow, 54" cp="1">
          <x v="2"/>
        </s>
        <s v="[Product].[Product Categories].[Product Name].&amp;[497]" c="HL Touring Frame - Blue, 46" cp="1">
          <x v="1"/>
        </s>
        <s v="[Product].[Product Categories].[Product Name].&amp;[498]" c="HL Touring Frame - Blue, 50" cp="1">
          <x v="1"/>
        </s>
        <s v="[Product].[Product Categories].[Product Name].&amp;[499]" c="HL Touring Frame - Blue, 54" cp="1">
          <x v="1"/>
        </s>
        <s v="[Product].[Product Categories].[Product Name].&amp;[500]" c="HL Touring Frame - Blue, 60" cp="1">
          <x v="1"/>
        </s>
        <s v="[Product].[Product Categories].[Product Name].&amp;[502]" c="LL Touring Frame - Blue, 50" cp="1">
          <x v="1"/>
        </s>
        <s v="[Product].[Product Categories].[Product Name].&amp;[503]" c="LL Touring Frame - Blue, 54" cp="1">
          <x v="1"/>
        </s>
        <s v="[Product].[Product Categories].[Product Name].&amp;[504]" c="LL Touring Frame - Blue, 58" cp="1">
          <x v="1"/>
        </s>
        <s v="[Product].[Product Categories].[Product Name].&amp;[505]" c="LL Touring Frame - Blue, 62" cp="1">
          <x v="1"/>
        </s>
        <s v="[Product].[Product Categories].[Product Name].&amp;[506]" c="LL Touring Frame - Yellow, 44" cp="1">
          <x v="2"/>
        </s>
        <s v="[Product].[Product Categories].[Product Name].&amp;[507]" c="LL Touring Frame - Yellow, 50" cp="1">
          <x v="2"/>
        </s>
        <s v="[Product].[Product Categories].[Product Name].&amp;[509]" c="LL Touring Frame - Yellow, 58" cp="1">
          <x v="2"/>
        </s>
        <s v="[Product].[Product Categories].[Product Name].&amp;[510]" c="LL Touring Frame - Blue, 44" cp="1">
          <x v="1"/>
        </s>
        <s v="[Product].[Product Categories].[Product Name].&amp;[410]" c="LL Mountain Front Wheel" cp="1">
          <x/>
        </s>
        <s v="[Product].[Product Categories].[Product Name].&amp;[411]" c="ML Mountain Front Wheel" cp="1">
          <x/>
        </s>
        <s v="[Product].[Product Categories].[Product Name].&amp;[412]" c="HL Mountain Front Wheel" cp="1">
          <x/>
        </s>
        <s v="[Product].[Product Categories].[Product Name].&amp;[414]" c="ML Road Front Wheel" cp="1">
          <x/>
        </s>
        <s v="[Product].[Product Categories].[Product Name].&amp;[415]" c="HL Road Front Wheel" cp="1">
          <x/>
        </s>
        <s v="[Product].[Product Categories].[Product Name].&amp;[419]" c="LL Mountain Rear Wheel" cp="1">
          <x/>
        </s>
        <s v="[Product].[Product Categories].[Product Name].&amp;[420]" c="ML Mountain Rear Wheel" cp="1">
          <x/>
        </s>
        <s v="[Product].[Product Categories].[Product Name].&amp;[421]" c="HL Mountain Rear Wheel" cp="1">
          <x/>
        </s>
        <s v="[Product].[Product Categories].[Product Name].&amp;[422]" c="LL Road Rear Wheel" cp="1">
          <x/>
        </s>
        <s v="[Product].[Product Categories].[Product Name].&amp;[423]" c="ML Road Rear Wheel" cp="1">
          <x/>
        </s>
        <s v="[Product].[Product Categories].[Product Name].&amp;[424]" c="HL Road Rear Wheel" cp="1">
          <x/>
        </s>
      </sharedItems>
      <mpMap v="4"/>
    </cacheField>
    <cacheField name="[Product].[Product Categories].[Product Name].[Color]" caption="Color" numFmtId="0" hierarchy="101" level="3" memberPropertyField="1">
      <sharedItems count="9">
        <s v="Black"/>
        <s v="Blue"/>
        <s v="Yellow"/>
        <s v="NA"/>
        <s v="Red"/>
        <s v="Silver/Black"/>
        <s v="Silver"/>
        <s v="White"/>
        <s v="Multi"/>
      </sharedItems>
    </cacheField>
    <cacheField name="[Product].[Product Categories].[Subcategory].[Category]" caption="Category" numFmtId="0" hierarchy="101" level="2" memberPropertyField="1">
      <sharedItems count="4">
        <s v="Components"/>
        <s v="Clothing"/>
        <s v="Bikes"/>
        <s v="Accessories"/>
      </sharedItems>
    </cacheField>
  </cacheFields>
  <cacheHierarchies count="282">
    <cacheHierarchy uniqueName="[Account].[Account]" caption="Account" attribute="1" keyAttribute="1" defaultMemberUniqueName="[Account].[Account].[All Accounts]" allUniqueName="[Account].[Account].[All Accounts]" dimensionUniqueName="[Account]" count="2"/>
    <cacheHierarchy uniqueName="[Account].[Account Number]" caption="Account Number" attribute="1" defaultMemberUniqueName="[Account].[Account Number].[All Accounts]" allUniqueName="[Account].[Account Number].[All Accounts]" dimensionUniqueName="[Account]" count="2"/>
    <cacheHierarchy uniqueName="[Account].[Account Type]" caption="Account Type" attribute="1" defaultMemberUniqueName="[Account].[Account Type].[All Accounts]" allUniqueName="[Account].[Account Type].[All Accounts]" dimensionUniqueName="[Account]" count="2"/>
    <cacheHierarchy uniqueName="[Account].[Accounts]" caption="Accounts" defaultMemberUniqueName="[Account].[Accounts].&amp;[47]" dimensionUniqueName="[Account]" count="6"/>
    <cacheHierarchy uniqueName="[Customer].[Address]" caption="Address" attribute="1" defaultMemberUniqueName="[Customer].[Address].[All Customers]" allUniqueName="[Customer].[Address].[All Customers]" dimensionUniqueName="[Customer]" displayFolder="Location" count="2"/>
    <cacheHierarchy uniqueName="[Customer].[City]" caption="City" attribute="1" defaultMemberUniqueName="[Customer].[City].[All Customers]" allUniqueName="[Customer].[City].[All Customers]" dimensionUniqueName="[Customer]" displayFolder="Location" count="2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2"/>
    <cacheHierarchy uniqueName="[Customer].[Country]" caption="Country" attribute="1" defaultMemberUniqueName="[Customer].[Country].[All Customers]" allUniqueName="[Customer].[Country].[All Customers]" dimensionUniqueName="[Customer]" displayFolder="Location" count="2"/>
    <cacheHierarchy uniqueName="[Customer].[Customer]" caption="Customer" attribute="1" keyAttribute="1" defaultMemberUniqueName="[Customer].[Customer].[All Customers]" allUniqueName="[Customer].[Customer].[All Customers]" dimensionUniqueName="[Customer]" displayFolder="Contacts" count="2"/>
    <cacheHierarchy uniqueName="[Customer].[Customer Geography]" caption="Customer Geography" defaultMemberUniqueName="[Customer].[Customer Geography].[All Customers]" allUniqueName="[Customer].[Customer Geography].[All Customers]" dimensionUniqueName="[Customer]" count="6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2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2"/>
    <cacheHierarchy uniqueName="[Customer].[Gender]" caption="Gender" attribute="1" defaultMemberUniqueName="[Customer].[Gender].[All Customers]" allUniqueName="[Customer].[Gender].[All Customers]" dimensionUniqueName="[Customer]" displayFolder="Demographic" count="2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2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2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2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2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2"/>
    <cacheHierarchy uniqueName="[Customer].[Phone]" caption="Phone" attribute="1" defaultMemberUniqueName="[Customer].[Phone].[All Customers]" allUniqueName="[Customer].[Phone].[All Customers]" dimensionUniqueName="[Customer]" displayFolder="Contacts" count="2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2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2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2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2"/>
    <cacheHierarchy uniqueName="[Date].[Calendar]" caption="Date.Calendar" time="1" defaultMemberUniqueName="[Date].[Calendar].[All Periods]" allUniqueName="[Date].[Calendar].[All Periods]" dimensionUniqueName="[Date]" displayFolder="Calendar" count="6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2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2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2"/>
    <cacheHierarchy uniqueName="[Date].[Date]" caption="Date.Date" attribute="1" time="1" keyAttribute="1" defaultMemberUniqueName="[Date].[Date].[All Periods]" allUniqueName="[Date].[Date].[All Periods]" dimensionUniqueName="[Date]" count="2"/>
    <cacheHierarchy uniqueName="[Date].[Day Name]" caption="Date.Day Name" attribute="1" time="1" defaultMemberUniqueName="[Date].[Day Name].[All Periods]" allUniqueName="[Date].[Day Name].[All Periods]" dimensionUniqueName="[Date]" count="2"/>
    <cacheHierarchy uniqueName="[Date].[Day of Month]" caption="Date.Day of Month" attribute="1" time="1" defaultMemberUniqueName="[Date].[Day of Month].[All Periods]" allUniqueName="[Date].[Day of Month].[All Periods]" dimensionUniqueName="[Date]" count="2"/>
    <cacheHierarchy uniqueName="[Date].[Day of Week]" caption="Date.Day of Week" attribute="1" time="1" defaultMemberUniqueName="[Date].[Day of Week].[All Periods]" allUniqueName="[Date].[Day of Week].[All Periods]" dimensionUniqueName="[Date]" count="2"/>
    <cacheHierarchy uniqueName="[Date].[Day of Year]" caption="Date.Day of Year" attribute="1" time="1" defaultMemberUniqueName="[Date].[Day of Year].[All Periods]" allUniqueName="[Date].[Day of Year].[All Periods]" dimensionUniqueName="[Date]" count="2"/>
    <cacheHierarchy uniqueName="[Date].[Fiscal]" caption="Date.Fiscal" time="1" defaultMemberUniqueName="[Date].[Fiscal].[All Periods]" allUniqueName="[Date].[Fiscal].[All Periods]" dimensionUniqueName="[Date]" displayFolder="Fiscal" count="6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2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2"/>
    <cacheHierarchy uniqueName="[Date].[Fiscal Year]" caption="Date.Fiscal Year" attribute="1" time="1" defaultMemberUniqueName="[Date].[Fiscal Year].[All Periods]" allUniqueName="[Date].[Fiscal Year].[All Periods]" dimensionUniqueName="[Date]" displayFolder="Fiscal" count="2"/>
    <cacheHierarchy uniqueName="[Date].[Month of Year]" caption="Date.Month of Year" attribute="1" time="1" defaultMemberUniqueName="[Date].[Month of Year].[All Periods]" allUniqueName="[Date].[Month of Year].[All Periods]" dimensionUniqueName="[Date]" count="2"/>
    <cacheHierarchy uniqueName="[Date].[Week of Year]" caption="Date.Week of Year" attribute="1" time="1" defaultMemberUniqueName="[Date].[Week of Year].[All Periods]" allUniqueName="[Date].[Week of Year].[All Periods]" dimensionUniqueName="[Date]" count="2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6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2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2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2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count="2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count="2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count="2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count="2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count="2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6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2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2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2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count="2"/>
    <cacheHierarchy uniqueName="[Delivery Date].[Week of Year]" caption="Delivery Date.Week of Year" attribute="1" time="1" defaultMemberUniqueName="[Delivery Date].[Week of Year].[All Periods]" allUniqueName="[Delivery Date].[Week of Year].[All Periods]" dimensionUniqueName="[Delivery Date]" count="2"/>
    <cacheHierarchy uniqueName="[Department].[Departments]" caption="Departments" defaultMemberUniqueName="[Department].[Departments].&amp;[1]" dimensionUniqueName="[Department]" count="2"/>
    <cacheHierarchy uniqueName="[Destination Currency].[Destination Currency]" caption="Destination Currency" attribute="1" defaultMemberUniqueName="[Destination Currency].[Destination Currency].&amp;[US Dollar]" dimensionUniqueName="[Destination Currency]" count="1"/>
    <cacheHierarchy uniqueName="[Destination Currency].[Destination Currency Code]" caption="Destination Currency Code" attribute="1" keyAttribute="1" defaultMemberUniqueName="[Destination Currency].[Destination Currency Code].[All Destination Currencies]" allUniqueName="[Destination Currency].[Destination Currency Code].[All Destination Currencies]" dimensionUniqueName="[Destination Currency]" count="2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2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s" count="2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s" count="2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s" count="2"/>
    <cacheHierarchy uniqueName="[Employee].[Employee]" caption="Employee" attribute="1" keyAttribute="1" defaultMemberUniqueName="[Employee].[Employee].[All Employees]" allUniqueName="[Employee].[Employee].[All Employees]" dimensionUniqueName="[Employee]" count="2"/>
    <cacheHierarchy uniqueName="[Employee].[Employee Department]" caption="Employee Department" defaultMemberUniqueName="[Employee].[Employee Department].[All Employees]" allUniqueName="[Employee].[Employee Department].[All Employees]" dimensionUniqueName="[Employee]" count="4"/>
    <cacheHierarchy uniqueName="[Employee].[Employees]" caption="Employees" defaultMemberUniqueName="[Employee].[Employees].[All Employees]" allUniqueName="[Employee].[Employees].[All Employees]" dimensionUniqueName="[Employee]" count="6"/>
    <cacheHierarchy uniqueName="[Employee].[End Date]" caption="End Date" attribute="1" defaultMemberUniqueName="[Employee].[End Date].[All Employees]" allUniqueName="[Employee].[End Date].[All Employees]" dimensionUniqueName="[Employee]" displayFolder="History" count="2"/>
    <cacheHierarchy uniqueName="[Employee].[Gender]" caption="Gender" attribute="1" defaultMemberUniqueName="[Employee].[Gender].[All Employees]" allUniqueName="[Employee].[Gender].[All Employees]" dimensionUniqueName="[Employee]" displayFolder="Demographic" count="2"/>
    <cacheHierarchy uniqueName="[Employee].[Hire Date]" caption="Hire Date" attribute="1" defaultMemberUniqueName="[Employee].[Hire Date].[All Employees]" allUniqueName="[Employee].[Hire Date].[All Employees]" dimensionUniqueName="[Employee]" displayFolder="History" count="2"/>
    <cacheHierarchy uniqueName="[Employee].[Hire Year]" caption="Hire Year" attribute="1" defaultMemberUniqueName="[Employee].[Hire Year].[All Employees]" allUniqueName="[Employee].[Hire Year].[All Employees]" dimensionUniqueName="[Employee]" displayFolder="History" count="2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2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2"/>
    <cacheHierarchy uniqueName="[Employee].[Phone]" caption="Phone" attribute="1" defaultMemberUniqueName="[Employee].[Phone].[All Employees]" allUniqueName="[Employee].[Phone].[All Employees]" dimensionUniqueName="[Employee]" displayFolder="Contacts" count="2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2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2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2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2"/>
    <cacheHierarchy uniqueName="[Employee].[Status]" caption="Status" attribute="1" defaultMemberUniqueName="[Employee].[Status].[All Employees]" allUniqueName="[Employee].[Status].[All Employees]" dimensionUniqueName="[Employee]" displayFolder="Organization" count="2"/>
    <cacheHierarchy uniqueName="[Employee].[Title]" caption="Title" attribute="1" defaultMemberUniqueName="[Employee].[Title].[All Employees]" allUniqueName="[Employee].[Title].[All Employees]" dimensionUniqueName="[Employee]" displayFolder="Organization" count="2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2"/>
    <cacheHierarchy uniqueName="[Geography].[City]" caption="City" attribute="1" defaultMemberUniqueName="[Geography].[City].[All Geographies]" allUniqueName="[Geography].[City].[All Geographies]" dimensionUniqueName="[Geography]" count="2"/>
    <cacheHierarchy uniqueName="[Geography].[Country]" caption="Country" attribute="1" defaultMemberUniqueName="[Geography].[Country].[All Geographies]" allUniqueName="[Geography].[Country].[All Geographies]" dimensionUniqueName="[Geography]" count="2"/>
    <cacheHierarchy uniqueName="[Geography].[Geography]" caption="Geography" defaultMemberUniqueName="[Geography].[Geography].[All Geographies]" allUniqueName="[Geography].[Geography].[All Geographies]" dimensionUniqueName="[Geography]" count="5"/>
    <cacheHierarchy uniqueName="[Geography].[Postal Code]" caption="Postal Code" attribute="1" defaultMemberUniqueName="[Geography].[Postal Code].[All Geographies]" allUniqueName="[Geography].[Postal Code].[All Geographies]" dimensionUniqueName="[Geography]" count="2"/>
    <cacheHierarchy uniqueName="[Geography].[State-Province]" caption="State-Province" attribute="1" defaultMemberUniqueName="[Geography].[State-Province].[All Geographies]" allUniqueName="[Geography].[State-Province].[All Geographies]" dimensionUniqueName="[Geography]" count="2"/>
    <cacheHierarchy uniqueName="[Internet Sales Order Details].[Carrier Tracking Number]" caption="Carrier Tracking Number" attribute="1" defaultMemberUniqueName="[Internet Sales Order Details].[Carrier Tracking Number].[All Internet Sales Orders]" allUniqueName="[Internet Sales Order Details].[Carrier Tracking Number].[All Internet Sales Orders]" dimensionUniqueName="[Internet Sales Order Details]" count="2"/>
    <cacheHierarchy uniqueName="[Internet Sales Order Details].[Customer PO Number]" caption="Customer PO Number" attribute="1" defaultMemberUniqueName="[Internet Sales Order Details].[Customer PO Number].[All Internet Sales Orders]" allUniqueName="[Internet Sales Order Details].[Customer PO Number].[All Internet Sales Orders]" dimensionUniqueName="[Internet Sales Order Details]" count="2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count="3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count="2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count="2"/>
    <cacheHierarchy uniqueName="[Measures]" caption="Measures" attribute="1" keyAttribute="1" defaultMemberUniqueName="[Measures].[Reseller Sales Amount]" dimensionUniqueName="[Measures]" measures="1" count="1">
      <fieldsUsage count="1">
        <fieldUsage x="0"/>
      </fieldsUsage>
    </cacheHierarchy>
    <cacheHierarchy uniqueName="[Organization].[Currency Code]" caption="Currency Code" attribute="1" defaultMemberUniqueName="[Organization].[Currency Code].[All Organizations]" allUniqueName="[Organization].[Currency Code].[All Organizations]" dimensionUniqueName="[Organization]" count="2"/>
    <cacheHierarchy uniqueName="[Organization].[Organizations]" caption="Organizations" defaultMemberUniqueName="[Organization].[Organizations].&amp;[1]" dimensionUniqueName="[Organization]" count="4"/>
    <cacheHierarchy uniqueName="[Product].[Category]" caption="Category" attribute="1" defaultMemberUniqueName="[Product].[Category].[All Products]" allUniqueName="[Product].[Category].[All Products]" dimensionUniqueName="[Product]" count="2"/>
    <cacheHierarchy uniqueName="[Product].[Class]" caption="Class" attribute="1" defaultMemberUniqueName="[Product].[Class].[All Products]" allUniqueName="[Product].[Class].[All Products]" dimensionUniqueName="[Product]" displayFolder="Stocking" count="2"/>
    <cacheHierarchy uniqueName="[Product].[Color]" caption="Color" attribute="1" defaultMemberUniqueName="[Product].[Color].[All Products]" allUniqueName="[Product].[Color].[All Products]" dimensionUniqueName="[Product]" displayFolder="Stocking" count="2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2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2"/>
    <cacheHierarchy uniqueName="[Product].[End Date]" caption="End Date" attribute="1" defaultMemberUniqueName="[Product].[End Date].[All Products]" allUniqueName="[Product].[End Date].[All Products]" dimensionUniqueName="[Product]" displayFolder="History" count="2"/>
    <cacheHierarchy uniqueName="[Product].[Large Photo]" caption="Large Photo" attribute="1" defaultMemberUniqueName="[Product].[Large Photo].[All Products]" allUniqueName="[Product].[Large Photo].[All Products]" dimensionUniqueName="[Product]" count="2"/>
    <cacheHierarchy uniqueName="[Product].[List Price]" caption="List Price" attribute="1" defaultMemberUniqueName="[Product].[List Price].[All Products]" allUniqueName="[Product].[List Price].[All Products]" dimensionUniqueName="[Product]" displayFolder="Financial" count="2"/>
    <cacheHierarchy uniqueName="[Product].[Manufacture Time]" caption="Manufacture Time" defaultMemberUniqueName="[Product].[Manufacture Time].[All Products]" allUniqueName="[Product].[Manufacture Time].[All Products]" dimensionUniqueName="[Product]" displayFolder="Stocking" count="3"/>
    <cacheHierarchy uniqueName="[Product].[Model Name]" caption="Model Name" attribute="1" defaultMemberUniqueName="[Product].[Model Name].[All Products]" allUniqueName="[Product].[Model Name].[All Products]" dimensionUniqueName="[Product]" count="2"/>
    <cacheHierarchy uniqueName="[Product].[Product]" caption="Product" attribute="1" keyAttribute="1" defaultMemberUniqueName="[Product].[Product].[All Products]" allUniqueName="[Product].[Product].[All Products]" dimensionUniqueName="[Product]" count="2"/>
    <cacheHierarchy uniqueName="[Product].[Product Categories]" caption="Product Categories" defaultMemberUniqueName="[Product].[Product Categories].[All Products]" allUniqueName="[Product].[Product Categories].[All Products]" allCaption="All Products" dimensionUniqueName="[Product]" count="4">
      <fieldsUsage count="4">
        <fieldUsage x="-1"/>
        <fieldUsage x="1"/>
        <fieldUsage x="2"/>
        <fieldUsage x="3"/>
      </fieldsUsage>
    </cacheHierarchy>
    <cacheHierarchy uniqueName="[Product].[Product Key]" caption="Product Key" attribute="1" defaultMemberUniqueName="[Product].[Product Key].[All Products]" allUniqueName="[Product].[Product Key].[All Products]" dimensionUniqueName="[Product]" count="2"/>
    <cacheHierarchy uniqueName="[Product].[Product Line]" caption="Product Line" attribute="1" defaultMemberUniqueName="[Product].[Product Line].[All Products]" allUniqueName="[Product].[Product Line].[All Products]" dimensionUniqueName="[Product]" count="2"/>
    <cacheHierarchy uniqueName="[Product].[Product Model Categories]" caption="Product Model Categories" defaultMemberUniqueName="[Product].[Product Model Categories].[All Products]" allUniqueName="[Product].[Product Model Categories].[All Products]" dimensionUniqueName="[Product]" count="4"/>
    <cacheHierarchy uniqueName="[Product].[Product Model Lines]" caption="Product Model Lines" defaultMemberUniqueName="[Product].[Product Model Lines].[All Products]" allUniqueName="[Product].[Product Model Lines].[All Products]" dimensionUniqueName="[Product]" count="3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2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2"/>
    <cacheHierarchy uniqueName="[Product].[Size]" caption="Size" attribute="1" defaultMemberUniqueName="[Product].[Size].[All Products]" allUniqueName="[Product].[Size].[All Products]" dimensionUniqueName="[Product]" displayFolder="Stocking" count="2"/>
    <cacheHierarchy uniqueName="[Product].[Size Range]" caption="Size Range" attribute="1" defaultMemberUniqueName="[Product].[Size Range].[All Products]" allUniqueName="[Product].[Size Range].[All Products]" dimensionUniqueName="[Product]" displayFolder="Stocking" count="2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2"/>
    <cacheHierarchy uniqueName="[Product].[Start Date]" caption="Start Date" attribute="1" defaultMemberUniqueName="[Product].[Start Date].[All Products]" allUniqueName="[Product].[Start Date].[All Products]" dimensionUniqueName="[Product]" displayFolder="History" count="2"/>
    <cacheHierarchy uniqueName="[Product].[Status]" caption="Status" attribute="1" defaultMemberUniqueName="[Product].[Status].[All Products]" allUniqueName="[Product].[Status].[All Products]" dimensionUniqueName="[Product]" displayFolder="History" count="2"/>
    <cacheHierarchy uniqueName="[Product].[Stock Level]" caption="Stock Level" defaultMemberUniqueName="[Product].[Stock Level].[All Products]" allUniqueName="[Product].[Stock Level].[All Products]" dimensionUniqueName="[Product]" displayFolder="Stocking" count="3"/>
    <cacheHierarchy uniqueName="[Product].[Style]" caption="Style" attribute="1" defaultMemberUniqueName="[Product].[Style].[All Products]" allUniqueName="[Product].[Style].[All Products]" dimensionUniqueName="[Product]" count="2"/>
    <cacheHierarchy uniqueName="[Product].[Subcategory]" caption="Subcategory" attribute="1" defaultMemberUniqueName="[Product].[Subcategory].[All Products]" allUniqueName="[Product].[Subcategory].[All Products]" dimensionUniqueName="[Product]" count="2"/>
    <cacheHierarchy uniqueName="[Product].[Weight]" caption="Weight" attribute="1" defaultMemberUniqueName="[Product].[Weight].[All Products]" allUniqueName="[Product].[Weight].[All Products]" dimensionUniqueName="[Product]" displayFolder="Stocking" count="2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count="2"/>
    <cacheHierarchy uniqueName="[Promotion].[End Date]" caption="End Date" attribute="1" defaultMemberUniqueName="[Promotion].[End Date].[All Promotions]" allUniqueName="[Promotion].[End Date].[All Promotions]" dimensionUniqueName="[Promotion]" count="2"/>
    <cacheHierarchy uniqueName="[Promotion].[Max Quantity]" caption="Max Quantity" attribute="1" defaultMemberUniqueName="[Promotion].[Max Quantity].[All Promotions]" allUniqueName="[Promotion].[Max Quantity].[All Promotions]" dimensionUniqueName="[Promotion]" count="2"/>
    <cacheHierarchy uniqueName="[Promotion].[Min Quantity]" caption="Min Quantity" attribute="1" defaultMemberUniqueName="[Promotion].[Min Quantity].[All Promotions]" allUniqueName="[Promotion].[Min Quantity].[All Promotions]" dimensionUniqueName="[Promotion]" count="2"/>
    <cacheHierarchy uniqueName="[Promotion].[Promotion]" caption="Promotion" attribute="1" keyAttribute="1" defaultMemberUniqueName="[Promotion].[Promotion].[All Promotions]" allUniqueName="[Promotion].[Promotion].[All Promotions]" dimensionUniqueName="[Promotion]" count="2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count="2"/>
    <cacheHierarchy uniqueName="[Promotion].[Promotion Type]" caption="Promotion Type" attribute="1" defaultMemberUniqueName="[Promotion].[Promotion Type].[All Promotions]" allUniqueName="[Promotion].[Promotion Type].[All Promotions]" dimensionUniqueName="[Promotion]" count="2"/>
    <cacheHierarchy uniqueName="[Promotion].[Promotions]" caption="Promotions" defaultMemberUniqueName="[Promotion].[Promotions].[All Promotions]" allUniqueName="[Promotion].[Promotions].[All Promotions]" dimensionUniqueName="[Promotion]" count="4"/>
    <cacheHierarchy uniqueName="[Promotion].[Start Date]" caption="Start Date" attribute="1" defaultMemberUniqueName="[Promotion].[Start Date].[All Promotions]" allUniqueName="[Promotion].[Start Date].[All Promotions]" dimensionUniqueName="[Promotion]" count="2"/>
    <cacheHierarchy uniqueName="[Reseller].[Address]" caption="Address" attribute="1" defaultMemberUniqueName="[Reseller].[Address].[All Resellers]" allUniqueName="[Reseller].[Address].[All Resellers]" dimensionUniqueName="[Reseller]" count="2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2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2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2"/>
    <cacheHierarchy uniqueName="[Reseller].[Business Type]" caption="Business Type" attribute="1" defaultMemberUniqueName="[Reseller].[Business Type].[All Resellers]" allUniqueName="[Reseller].[Business Type].[All Resellers]" dimensionUniqueName="[Reseller]" count="2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2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2"/>
    <cacheHierarchy uniqueName="[Reseller].[Min Payment Amount]" caption="Min Payment Amount" attribute="1" defaultMemberUniqueName="[Reseller].[Min Payment Amount].[All Resellers]" allUniqueName="[Reseller].[Min Payment Amount].[All Resellers]" dimensionUniqueName="[Reseller]" displayFolder="Order Data" count="2"/>
    <cacheHierarchy uniqueName="[Reseller].[Min Payment Type]" caption="Min Payment Type" attribute="1" defaultMemberUniqueName="[Reseller].[Min Payment Type].[All Resellers]" allUniqueName="[Reseller].[Min Payment Type].[All Resellers]" dimensionUniqueName="[Reseller]" displayFolder="Order Data" count="2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count="2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2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2"/>
    <cacheHierarchy uniqueName="[Reseller].[Phone]" caption="Phone" attribute="1" defaultMemberUniqueName="[Reseller].[Phone].[All Resellers]" allUniqueName="[Reseller].[Phone].[All Resellers]" dimensionUniqueName="[Reseller]" count="2"/>
    <cacheHierarchy uniqueName="[Reseller].[Product Line]" caption="Product Line" attribute="1" defaultMemberUniqueName="[Reseller].[Product Line].[All Resellers]" allUniqueName="[Reseller].[Product Line].[All Resellers]" dimensionUniqueName="[Reseller]" count="2"/>
    <cacheHierarchy uniqueName="[Reseller].[Reseller]" caption="Reseller" attribute="1" keyAttribute="1" defaultMemberUniqueName="[Reseller].[Reseller].[All Resellers]" allUniqueName="[Reseller].[Reseller].[All Resellers]" dimensionUniqueName="[Reseller]" count="2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3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3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3"/>
    <cacheHierarchy uniqueName="[Reseller].[Reseller Type]" caption="Reseller Type" defaultMemberUniqueName="[Reseller].[Reseller Type].[All Resellers]" allUniqueName="[Reseller].[Reseller Type].[All Resellers]" dimensionUniqueName="[Reseller]" count="3"/>
    <cacheHierarchy uniqueName="[Reseller].[Year Opened]" caption="Year Opened" attribute="1" defaultMemberUniqueName="[Reseller].[Year Opened].[All Resellers]" allUniqueName="[Reseller].[Year Opened].[All Resellers]" dimensionUniqueName="[Reseller]" count="2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count="2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count="2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count="3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count="2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count="2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count="2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count="2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count="2"/>
    <cacheHierarchy uniqueName="[Sales Reason].[Sales Reasons]" caption="Sales Reasons" defaultMemberUniqueName="[Sales Reason].[Sales Reasons].[All Sales Reasons]" allUniqueName="[Sales Reason].[Sales Reasons].[All Sales Reasons]" dimensionUniqueName="[Sales Reason]" count="3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count="2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count="2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count="2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count="2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count="3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count="4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count="2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count="2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count="2"/>
    <cacheHierarchy uniqueName="[Scenario].[Scenario]" caption="Scenario" attribute="1" keyAttribute="1" defaultMemberUniqueName="[Scenario].[Scenario].&amp;[1]" dimensionUniqueName="[Scenario]" count="1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6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2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2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2"/>
    <cacheHierarchy uniqueName="[Ship Date].[Date]" caption="Ship Date.Date" attribute="1" time="1" keyAttribute="1" defaultMemberUniqueName="[Ship Date].[Date].[All Periods]" allUniqueName="[Ship Date].[Date].[All Periods]" dimensionUniqueName="[Ship Date]" count="2"/>
    <cacheHierarchy uniqueName="[Ship Date].[Day Name]" caption="Ship Date.Day Name" attribute="1" time="1" defaultMemberUniqueName="[Ship Date].[Day Name].[All Periods]" allUniqueName="[Ship Date].[Day Name].[All Periods]" dimensionUniqueName="[Ship Date]" count="2"/>
    <cacheHierarchy uniqueName="[Ship Date].[Day of Month]" caption="Ship Date.Day of Month" attribute="1" time="1" defaultMemberUniqueName="[Ship Date].[Day of Month].[All Periods]" allUniqueName="[Ship Date].[Day of Month].[All Periods]" dimensionUniqueName="[Ship Date]" count="2"/>
    <cacheHierarchy uniqueName="[Ship Date].[Day of Week]" caption="Ship Date.Day of Week" attribute="1" time="1" defaultMemberUniqueName="[Ship Date].[Day of Week].[All Periods]" allUniqueName="[Ship Date].[Day of Week].[All Periods]" dimensionUniqueName="[Ship Date]" count="2"/>
    <cacheHierarchy uniqueName="[Ship Date].[Day of Year]" caption="Ship Date.Day of Year" attribute="1" time="1" defaultMemberUniqueName="[Ship Date].[Day of Year].[All Periods]" allUniqueName="[Ship Date].[Day of Year].[All Periods]" dimensionUniqueName="[Ship Date]" count="2"/>
    <cacheHierarchy uniqueName="[Ship Date].[Fiscal]" caption="Ship Date.Fiscal" time="1" defaultMemberUniqueName="[Ship Date].[Fiscal].[All Periods]" allUniqueName="[Ship Date].[Fiscal].[All Periods]" dimensionUniqueName="[Ship Date]" displayFolder="Fiscal" count="6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2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2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2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count="2"/>
    <cacheHierarchy uniqueName="[Ship Date].[Week of Year]" caption="Ship Date.Week of Year" attribute="1" time="1" defaultMemberUniqueName="[Ship Date].[Week of Year].[All Periods]" allUniqueName="[Ship Date].[Week of Year].[All Periods]" dimensionUniqueName="[Ship Date]" count="2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count="2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count="2"/>
    <cacheHierarchy uniqueName="[Measures].[Internet Sales Amount]" caption="Internet Sales Amount" measure="1" measureGroup="Internet Sales" count="0"/>
    <cacheHierarchy uniqueName="[Measures].[Internet Order Quantity]" caption="Internet Order Quantity" measure="1" measureGroup="Internet Sales" count="0"/>
    <cacheHierarchy uniqueName="[Measures].[Internet Extended Amount]" caption="Internet Extended Amount" measure="1" measureGroup="Internet Sales" count="0"/>
    <cacheHierarchy uniqueName="[Measures].[Internet Tax Amount]" caption="Internet Tax Amount" measure="1" measureGroup="Internet Sales" count="0"/>
    <cacheHierarchy uniqueName="[Measures].[Internet Freight Cost]" caption="Internet Freight Cost" measure="1" measureGroup="Internet Sales" count="0"/>
    <cacheHierarchy uniqueName="[Measures].[Internet Total Product Cost]" caption="Internet Total Product Cost" measure="1" measureGroup="Internet Sales" count="0"/>
    <cacheHierarchy uniqueName="[Measures].[Internet Standard Product Cost]" caption="Internet Standard Product Cost" measure="1" measureGroup="Internet Sales" count="0"/>
    <cacheHierarchy uniqueName="[Measures].[Internet Order Count]" caption="Internet Order Count" measure="1" measureGroup="Internet Orders" count="0"/>
    <cacheHierarchy uniqueName="[Measures].[Customer Count]" caption="Customer Count" measure="1" measureGroup="Internet Customers" count="0"/>
    <cacheHierarchy uniqueName="[Measures].[Reseller Sales Amount]" caption="Reseller Sales Amount" measure="1" measureGroup="Reseller Sales" count="0"/>
    <cacheHierarchy uniqueName="[Measures].[Reseller Order Quantity]" caption="Reseller Order Quantity" measure="1" measureGroup="Reseller Sales" count="0"/>
    <cacheHierarchy uniqueName="[Measures].[Reseller Extended Amount]" caption="Reseller Extended Amount" measure="1" measureGroup="Reseller Sales" count="0"/>
    <cacheHierarchy uniqueName="[Measures].[Reseller Tax Amount]" caption="Reseller Tax Amount" measure="1" measureGroup="Reseller Sales" count="0"/>
    <cacheHierarchy uniqueName="[Measures].[Reseller Freight Cost]" caption="Reseller Freight Cost" measure="1" measureGroup="Reseller Sales" count="0"/>
    <cacheHierarchy uniqueName="[Measures].[Discount Amount]" caption="Discount Amount" measure="1" measureGroup="Reseller Sales" count="0"/>
    <cacheHierarchy uniqueName="[Measures].[Reseller Total Product Cost]" caption="Reseller Total Product Cost" measure="1" measureGroup="Reseller Sales" count="0"/>
    <cacheHierarchy uniqueName="[Measures].[Reseller Standard Product Cost]" caption="Reseller Standard Product Cost" measure="1" measureGroup="Reseller Sales" count="0"/>
    <cacheHierarchy uniqueName="[Measures].[Reseller Order Count]" caption="Reseller Order Count" measure="1" measureGroup="Reseller Orders" count="0"/>
    <cacheHierarchy uniqueName="[Measures].[Order Quantity]" caption="Order Quantity" measure="1" measureGroup="Sales Summary" count="0"/>
    <cacheHierarchy uniqueName="[Measures].[Extended Amount]" caption="Extended Amount" measure="1" measureGroup="Sales Summary" count="0"/>
    <cacheHierarchy uniqueName="[Measures].[Standard Product Cost]" caption="Standard Product Cost" measure="1" measureGroup="Sales Summary" count="0"/>
    <cacheHierarchy uniqueName="[Measures].[Total Product Cost]" caption="Total Product Cost" measure="1" measureGroup="Sales Summary" count="0"/>
    <cacheHierarchy uniqueName="[Measures].[Sales Amount]" caption="Sales Amount" measure="1" measureGroup="Sales Summary" count="0"/>
    <cacheHierarchy uniqueName="[Measures].[Tax Amount]" caption="Tax Amount" measure="1" measureGroup="Sales Summary" count="0"/>
    <cacheHierarchy uniqueName="[Measures].[Freight Cost]" caption="Freight Cost" measure="1" measureGroup="Sales Summary" count="0"/>
    <cacheHierarchy uniqueName="[Measures].[Order Count]" caption="Order Count" measure="1" measureGroup="Sales Orders" count="0"/>
    <cacheHierarchy uniqueName="[Measures].[Sales Amount Quota]" caption="Sales Amount Quota" measure="1" measureGroup="Sales Targets" count="0"/>
    <cacheHierarchy uniqueName="[Measures].[Amount]" caption="Amount" measure="1" measureGroup="Financial Reporting" count="0"/>
    <cacheHierarchy uniqueName="[Measures].[Average Rate]" caption="Average Rate" measure="1" measureGroup="Exchange Rates" count="0"/>
    <cacheHierarchy uniqueName="[Measures].[End of Day Rate]" caption="End of Day Rate" measure="1" measureGroup="Exchange Rates" count="0"/>
    <cacheHierarchy uniqueName="[Measures].[Internet Gross Profit]" caption="Internet Gross Profit" measure="1" measureGroup="Internet Sales" count="0"/>
    <cacheHierarchy uniqueName="[Measures].[Internet Gross Profit Margin]" caption="Internet Gross Profit Margin" measure="1" measureGroup="Internet Sales" count="0"/>
    <cacheHierarchy uniqueName="[Measures].[Internet Average Unit Price]" caption="Internet Average Unit Price" measure="1" measureGroup="Internet Sales" count="0"/>
    <cacheHierarchy uniqueName="[Measures].[Internet Average Sales Amount]" caption="Internet Average Sales Amount" measure="1" measureGroup="Internet Sales" count="0"/>
    <cacheHierarchy uniqueName="[Measures].[Internet Ratio to All Products]" caption="Internet Ratio to All Products" measure="1" measureGroup="Internet Sales" count="0"/>
    <cacheHierarchy uniqueName="[Measures].[Internet Ratio to Parent Product]" caption="Internet Ratio to Parent Product" measure="1" measureGroup="Internet Sales" count="0"/>
    <cacheHierarchy uniqueName="[Measures].[Growth in Customer Base]" caption="Growth in Customer Base" measure="1" measureGroup="Internet Sales" count="0"/>
    <cacheHierarchy uniqueName="[Measures].[Reseller Gross Profit]" caption="Reseller Gross Profit" measure="1" measureGroup="Reseller Sales" count="0"/>
    <cacheHierarchy uniqueName="[Measures].[Reseller Gross Profit Margin]" caption="Reseller Gross Profit Margin" measure="1" measureGroup="Reseller Sales" count="0"/>
    <cacheHierarchy uniqueName="[Measures].[Reseller Average Unit Price]" caption="Reseller Average Unit Price" measure="1" measureGroup="Reseller Sales" count="0"/>
    <cacheHierarchy uniqueName="[Measures].[Reseller Average Sales Amount]" caption="Reseller Average Sales Amount" measure="1" measureGroup="Reseller Sales" count="0"/>
    <cacheHierarchy uniqueName="[Measures].[Reseller Ratio to All Products]" caption="Reseller Ratio to All Products" measure="1" measureGroup="Reseller Sales" count="0"/>
    <cacheHierarchy uniqueName="[Measures].[Reseller Ratio to Parent Product]" caption="Reseller Ratio to Parent Product" measure="1" measureGroup="Reseller Sales" count="0"/>
    <cacheHierarchy uniqueName="[Measures].[Discount Percentage]" caption="Discount Percentage" measure="1" measureGroup="Reseller Sales" count="0"/>
    <cacheHierarchy uniqueName="[Measures].[Average Unit Price]" caption="Average Unit Price" measure="1" measureGroup="Sales Summary" count="0"/>
    <cacheHierarchy uniqueName="[Measures].[Average Sales Amount]" caption="Average Sales Amount" measure="1" measureGroup="Sales Summary" count="0"/>
    <cacheHierarchy uniqueName="[Measures].[Gross Profit]" caption="Gross Profit" measure="1" measureGroup="Sales Summary" count="0"/>
    <cacheHierarchy uniqueName="[Measures].[Gross Profit Margin]" caption="Gross Profit Margin" measure="1" measureGroup="Sales Summary" count="0"/>
    <cacheHierarchy uniqueName="[Measures].[Expense to Revenue Ratio]" caption="Expense to Revenue Ratio" measure="1" measureGroup="Sales Summary" count="0"/>
    <cacheHierarchy uniqueName="[Measures].[Ratio to All Products]" caption="Ratio to All Products" measure="1" measureGroup="Sales Summary" count="0"/>
    <cacheHierarchy uniqueName="[Measures].[Ratio to Parent Product]" caption="Ratio to Parent Product" measure="1" measureGroup="Sales Summary" count="0"/>
    <cacheHierarchy uniqueName="[New Product Models FY 2002]" caption="New Product Models FY 2002" set="1" displayFolder="Sets" count="0"/>
    <cacheHierarchy uniqueName="[New Product Models FY 2003]" caption="New Product Models FY 2003" set="1" displayFolder="Sets" count="0"/>
    <cacheHierarchy uniqueName="[New Product Models FY 2004]" caption="New Product Models FY 2004" set="1" displayFolder="Sets" count="0"/>
    <cacheHierarchy uniqueName="[Long Lead Products]" caption="Long Lead Products" set="1" displayFolder="Sets" count="0"/>
    <cacheHierarchy uniqueName="[Core Product Group]" caption="Core Product Group" set="1" displayFolder="Sets" count="0"/>
    <cacheHierarchy uniqueName="[Large Resellers]" caption="Large Resellers" set="1" displayFolder="Sets" count="0"/>
    <cacheHierarchy uniqueName="[High Discount Promotions]" caption="High Discount Promotions" set="1" displayFolder="Sets" count="0"/>
    <cacheHierarchy uniqueName="[Summary P&amp;L]" caption="Summary P&amp;L" set="1" displayFolder="Sets" count="0"/>
    <cacheHierarchy uniqueName="[Measures].[Growth in Customer Base Goal]" caption="Growth in Customer Base Goal" measure="1" measureGroup="Internet Sales" count="0"/>
    <cacheHierarchy uniqueName="[Measures].[Growth in Customer Base Status]" caption="Growth in Customer Base Status" measure="1" iconSet="11" measureGroup="Internet Sales" count="0"/>
    <cacheHierarchy uniqueName="[Measures].[Growth in Customer Base Trend]" caption="Growth in Customer Base Trend" measure="1" iconSet="5" measureGroup="Internet Sales" count="0"/>
    <cacheHierarchy uniqueName="[Measures].[Net Income Value]" caption="Net Income" measure="1" measureGroup="Financial Reporting" count="0"/>
    <cacheHierarchy uniqueName="[Measures].[Net Income Goal]" caption="Net Income Goal" measure="1" measureGroup="Financial Reporting" count="0"/>
    <cacheHierarchy uniqueName="[Measures].[Net Income Status]" caption="Net Income Status" measure="1" iconSet="11" measureGroup="Financial Reporting" count="0"/>
    <cacheHierarchy uniqueName="[Measures].[Net Income Trend]" caption="Net Income Trend" measure="1" iconSet="3" measureGroup="Financial Reporting" count="0"/>
    <cacheHierarchy uniqueName="[Measures].[Operating Profit Value]" caption="Operating Profit" measure="1" measureGroup="Financial Reporting" count="0"/>
    <cacheHierarchy uniqueName="[Measures].[Operating Profit Goal]" caption="Operating Profit Goal" measure="1" measureGroup="Financial Reporting" count="0"/>
    <cacheHierarchy uniqueName="[Measures].[Operating Profit Status]" caption="Operating Profit Status" measure="1" iconSet="7" measureGroup="Financial Reporting" count="0"/>
    <cacheHierarchy uniqueName="[Measures].[Operating Profit Trend]" caption="Operating Profit Trend" measure="1" iconSet="3" measureGroup="Financial Reporting" count="0"/>
    <cacheHierarchy uniqueName="[Measures].[Operating Expenses Value]" caption="Operating Expenses" measure="1" measureGroup="Financial Reporting" count="0"/>
    <cacheHierarchy uniqueName="[Measures].[Operating Expenses Goal]" caption="Operating Expenses Goal" measure="1" measureGroup="Financial Reporting" count="0"/>
    <cacheHierarchy uniqueName="[Measures].[Operating Expenses Status]" caption="Operating Expenses Status" measure="1" iconSet="7" measureGroup="Financial Reporting" count="0"/>
    <cacheHierarchy uniqueName="[Measures].[Operating Expenses Trend]" caption="Operating Expenses Trend" measure="1" iconSet="4" measureGroup="Financial Reporting" count="0"/>
    <cacheHierarchy uniqueName="[Measures].[Financial Gross Margin Value]" caption="Financial Gross Margin" measure="1" measureGroup="Financial Reporting" count="0"/>
    <cacheHierarchy uniqueName="[Measures].[Financial Gross Margin Goal]" caption="Financial Gross Margin Goal" measure="1" measureGroup="Financial Reporting" count="0"/>
    <cacheHierarchy uniqueName="[Measures].[Financial Gross Margin Status]" caption="Financial Gross Margin Status" measure="1" iconSet="7" measureGroup="Financial Reporting" count="0"/>
    <cacheHierarchy uniqueName="[Measures].[Financial Gross Margin Trend]" caption="Financial Gross Margin Trend" measure="1" iconSet="3" measureGroup="Financial Reporting" count="0"/>
    <cacheHierarchy uniqueName="[Measures].[Return on Assets Value]" caption="Return on Assets" measure="1" measureGroup="Financial Reporting" count="0"/>
    <cacheHierarchy uniqueName="[Measures].[Return on Assets Goal]" caption="Return on Assets Goal" measure="1" measureGroup="Financial Reporting" count="0"/>
    <cacheHierarchy uniqueName="[Measures].[Return on Assets Status]" caption="Return on Assets Status" measure="1" iconSet="10" measureGroup="Financial Reporting" count="0"/>
    <cacheHierarchy uniqueName="[Measures].[Return on Assets Trend]" caption="Return on Assets Trend" measure="1" iconSet="5" measureGroup="Financial Reporting" count="0"/>
    <cacheHierarchy uniqueName="[Measures].[Product Gross Profit Margin Goal]" caption="Product Gross Profit Margin Goal" measure="1" measureGroup="Sales Summary" count="0"/>
    <cacheHierarchy uniqueName="[Measures].[Product Gross Profit Margin Status]" caption="Product Gross Profit Margin Status" measure="1" iconSet="10" measureGroup="Sales Summary" count="0"/>
    <cacheHierarchy uniqueName="[Measures].[Product Gross Profit Margin Trend]" caption="Product Gross Profit Margin Trend" measure="1" iconSet="3" measureGroup="Sales Summary" count="0"/>
    <cacheHierarchy uniqueName="[Measures].[Financial Variance Value]" caption="Financial Variance" measure="1" measureGroup="Financial Reporting" count="0"/>
    <cacheHierarchy uniqueName="[Measures].[Financial Variance Goal]" caption="Financial Variance Goal" measure="1" measureGroup="Financial Reporting" count="0"/>
    <cacheHierarchy uniqueName="[Measures].[Financial Variance Status]" caption="Financial Variance Status" measure="1" iconSet="1" measureGroup="Financial Reporting" count="0"/>
    <cacheHierarchy uniqueName="[Measures].[Financial Variance Trend]" caption="Financial Variance Trend" measure="1" iconSet="4" measureGroup="Financial Reporting" count="0"/>
    <cacheHierarchy uniqueName="[Measures].[Expense to Revenue Ratio Goal]" caption="Expense to Revenue Ratio Goal" measure="1" measureGroup="Sales Summary" count="0"/>
    <cacheHierarchy uniqueName="[Measures].[Expense to Revenue Ratio Status]" caption="Expense to Revenue Ratio Status" measure="1" iconSet="9" measureGroup="Sales Summary" count="0"/>
    <cacheHierarchy uniqueName="[Measures].[Expense to Revenue Ratio Trend]" caption="Expense to Revenue Ratio Trend" measure="1" iconSet="4" measureGroup="Sales Summary" count="0"/>
    <cacheHierarchy uniqueName="[Measures].[Revenue Goal]" caption="Revenue Goal" measure="1" measureGroup="Sales Summary" count="0"/>
    <cacheHierarchy uniqueName="[Measures].[Revenue Status]" caption="Revenue Status" measure="1" iconSet="10" measureGroup="Sales Summary" count="0"/>
    <cacheHierarchy uniqueName="[Measures].[Revenue Trend]" caption="Revenue Trend" measure="1" iconSet="5" measureGroup="Sales Summary" count="0"/>
    <cacheHierarchy uniqueName="[Measures].[Channel Revenue Status]" caption="Channel Revenue Status" measure="1" iconSet="10" measureGroup="Reseller Sales" count="0"/>
    <cacheHierarchy uniqueName="[Measures].[Channel Revenue Trend]" caption="Channel Revenue Trend" measure="1" iconSet="5" measureGroup="Reseller Sales" count="0"/>
    <cacheHierarchy uniqueName="[Measures].[Internet Revenue Goal]" caption="Internet Revenue Goal" measure="1" measureGroup="Internet Sales" count="0"/>
    <cacheHierarchy uniqueName="[Measures].[Internet Revenue Status]" caption="Internet Revenue Status" measure="1" iconSet="10" measureGroup="Internet Sales" count="0"/>
    <cacheHierarchy uniqueName="[Measures].[Internet Revenue Trend]" caption="Internet Revenue Trend" measure="1" iconSet="5" measureGroup="Internet Sales" count="0"/>
  </cacheHierarchies>
  <kpis count="12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Net Income" caption="Net Income" displayFolder="Financial Perspective\Maintain Overall Margins" measureGroup="Financial Reporting" parent="" value="[Measures].[Net Income Value]" goal="[Measures].[Net Income Goal]" status="[Measures].[Net Income Status]" trend="[Measures].[Net Income Trend]" weight=""/>
    <kpi uniqueName="Operating Profit" caption="Operating Profit" displayFolder="Financial Perspective\Maintain Overall Margins" measureGroup="Financial Reporting" parent="Net Income" value="[Measures].[Operating Profit Value]" goal="[Measures].[Operating Profit Goal]" status="[Measures].[Operating Profit Status]" trend="[Measures].[Operating Profit Trend]" weight=""/>
    <kpi uniqueName="Operating Expenses" caption="Operating Expenses" displayFolder="Financial Perspective\Maintain Overall Margins" measureGroup="Financial Reporting" parent="Operating Profit" value="[Measures].[Operating Expenses Value]" goal="[Measures].[Operating Expenses Goal]" status="[Measures].[Operating Expenses Status]" trend="[Measures].[Operating Expenses Trend]" weight=""/>
    <kpi uniqueName="Financial Gross Margin" caption="Financial Gross Margin" displayFolder="Financial Perspective\Maintain Overall Margins" measureGroup="Financial Reporting" parent="Operating Profit" value="[Measures].[Financial Gross Margin Value]" goal="[Measures].[Financial Gross Margin Goal]" status="[Measures].[Financial Gross Margin Status]" trend="[Measures].[Financial Gross Margin Trend]" weight=""/>
    <kpi uniqueName="Return on Assets" caption="Return on Assets" displayFolder="Financial Perspective\Grow Revenue" measureGroup="Financial Reporting" parent="" value="[Measures].[Return on Assets Value]" goal="[Measures].[Return on Assets Goal]" status="[Measures].[Return on Assets Status]" trend="[Measures].[Return on Assets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Financial Variance" caption="Financial Variance" displayFolder="Financial Perspective\Grow Revenue" measureGroup="Financial Reporting" parent="" value="[Measures].[Financial Variance Value]" goal="[Measures].[Financial Variance Goal]" status="[Measures].[Financial Variance Status]" trend="[Measures].[Financial Variance Trend]" weight=""/>
    <kpi uniqueName="Expense to Revenue Ratio" caption="Expense to Revenue Ratio" displayFolder="Internal Perspective\Increase Operational Efficiency" measureGroup="Sales Summary" parent="" value="[Measures].[Expense to Revenue Ratio]" goal="[Measures].[Expense to Revenue Ratio Goal]" status="[Measures].[Expense to Revenue Ratio Status]" trend="[Measures].[Expense to Revenue Ratio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tupleCache>
    <entries count="390">
      <n v="109809274.20299456">
        <tpls c="1">
          <tpl fld="0" item="0"/>
        </tpls>
      </n>
      <n v="19709.712000000003">
        <tpls c="2">
          <tpl fld="0" item="0"/>
          <tpl fld="3" item="349"/>
        </tpls>
      </n>
      <n v="10574.783999999996">
        <tpls c="2">
          <tpl fld="0" item="0"/>
          <tpl fld="3" item="348"/>
        </tpls>
      </n>
      <n v="58488.774000000005">
        <tpls c="2">
          <tpl fld="0" item="0"/>
          <tpl fld="3" item="347"/>
        </tpls>
      </n>
      <n v="166013.28370000003">
        <tpls c="2">
          <tpl fld="0" item="0"/>
          <tpl fld="3" item="346"/>
        </tpls>
      </n>
      <n v="119193.5227">
        <tpls c="2">
          <tpl fld="0" item="0"/>
          <tpl fld="3" item="345"/>
        </tpls>
      </n>
      <n v="18005.274000000009">
        <tpls c="2">
          <tpl fld="0" item="0"/>
          <tpl fld="3" item="344"/>
        </tpls>
      </n>
      <n v="112286.41199999998">
        <tpls c="2">
          <tpl fld="0" item="0"/>
          <tpl fld="3" item="343"/>
        </tpls>
      </n>
      <n v="78986.429999999993">
        <tpls c="2">
          <tpl fld="0" item="0"/>
          <tpl fld="3" item="342"/>
        </tpls>
      </n>
      <n v="39988.638000000006">
        <tpls c="2">
          <tpl fld="0" item="0"/>
          <tpl fld="3" item="341"/>
        </tpls>
      </n>
      <n v="33360.390000000014">
        <tpls c="2">
          <tpl fld="0" item="0"/>
          <tpl fld="3" item="340"/>
        </tpls>
      </n>
      <n v="22462.845000000008">
        <tpls c="2">
          <tpl fld="0" item="0"/>
          <tpl fld="3" item="339"/>
        </tpls>
      </n>
      <n v="679070.06539999938">
        <tpls c="2">
          <tpl fld="0" item="0"/>
          <tpl fld="2" item="34"/>
        </tpls>
      </n>
      <n v="5001.3">
        <tpls c="2">
          <tpl fld="0" item="0"/>
          <tpl fld="3" item="338"/>
        </tpls>
      </n>
      <n v="7201.8719999999985">
        <tpls c="2">
          <tpl fld="0" item="0"/>
          <tpl fld="3" item="337"/>
        </tpls>
      </n>
      <n v="45611.855999999985">
        <tpls c="2">
          <tpl fld="0" item="0"/>
          <tpl fld="3" item="336"/>
        </tpls>
      </n>
      <n v="58699.391199999984">
        <tpls c="2">
          <tpl fld="0" item="0"/>
          <tpl fld="3" item="335"/>
        </tpls>
      </n>
      <n v="3000.7799999999997">
        <tpls c="2">
          <tpl fld="0" item="0"/>
          <tpl fld="3" item="334"/>
        </tpls>
      </n>
      <n v="800.20799999999997">
        <tpls c="2">
          <tpl fld="0" item="0"/>
          <tpl fld="3" item="333"/>
        </tpls>
      </n>
      <n v="42210.971999999987">
        <tpls c="2">
          <tpl fld="0" item="0"/>
          <tpl fld="3" item="332"/>
        </tpls>
      </n>
      <n v="63216.431999999986">
        <tpls c="2">
          <tpl fld="0" item="0"/>
          <tpl fld="3" item="331"/>
        </tpls>
      </n>
      <n v="221720.95250000001">
        <tpls c="2">
          <tpl fld="0" item="0"/>
          <tpl fld="3" item="330"/>
        </tpls>
      </n>
      <n v="324333.10330000008">
        <tpls c="2">
          <tpl fld="0" item="0"/>
          <tpl fld="3" item="329"/>
        </tpls>
      </n>
      <n v="74690.903999999995">
        <tpls c="2">
          <tpl fld="0" item="0"/>
          <tpl fld="3" item="328"/>
        </tpls>
      </n>
      <n v="68667.443999999989">
        <tpls c="2">
          <tpl fld="0" item="0"/>
          <tpl fld="3" item="327"/>
        </tpls>
      </n>
      <n v="323268.25589999999">
        <tpls c="2">
          <tpl fld="0" item="0"/>
          <tpl fld="3" item="326"/>
        </tpls>
      </n>
      <n v="49994.718000000008">
        <tpls c="2">
          <tpl fld="0" item="0"/>
          <tpl fld="3" item="325"/>
        </tpls>
      </n>
      <n v="52404.102000000014">
        <tpls c="2">
          <tpl fld="0" item="0"/>
          <tpl fld="3" item="324"/>
        </tpls>
      </n>
      <n v="69127.135099999985">
        <tpls c="2">
          <tpl fld="0" item="0"/>
          <tpl fld="3" item="323"/>
        </tpls>
      </n>
      <n v="232378.26020000002">
        <tpls c="2">
          <tpl fld="0" item="0"/>
          <tpl fld="3" item="322"/>
        </tpls>
      </n>
      <n v="1642327.6862000017">
        <tpls c="2">
          <tpl fld="0" item="0"/>
          <tpl fld="2" item="33"/>
        </tpls>
      </n>
      <n v="13454.784">
        <tpls c="2">
          <tpl fld="0" item="0"/>
          <tpl fld="3" item="321"/>
        </tpls>
      </n>
      <n v="1972.6559999999997">
        <tpls c="2">
          <tpl fld="0" item="0"/>
          <tpl fld="3" item="320"/>
        </tpls>
      </n>
      <n v="1480.752">
        <tpls c="2">
          <tpl fld="0" item="0"/>
          <tpl fld="3" item="319"/>
        </tpls>
      </n>
      <n v="4232.2560000000003">
        <tpls c="2">
          <tpl fld="0" item="0"/>
          <tpl fld="3" item="318"/>
        </tpls>
      </n>
      <n v="162.71999999999997">
        <tpls c="2">
          <tpl fld="0" item="0"/>
          <tpl fld="3" item="317"/>
        </tpls>
      </n>
      <n v="16392.095999999998">
        <tpls c="2">
          <tpl fld="0" item="0"/>
          <tpl fld="3" item="316"/>
        </tpls>
      </n>
      <n v="12497.167100000001">
        <tpls c="2">
          <tpl fld="0" item="0"/>
          <tpl fld="3" item="315"/>
        </tpls>
      </n>
      <n v="5636.9570999999996">
        <tpls c="2">
          <tpl fld="0" item="0"/>
          <tpl fld="3" item="314"/>
        </tpls>
      </n>
      <n v="55829.388200000016">
        <tpls c="2">
          <tpl fld="0" item="0"/>
          <tpl fld="2" item="32"/>
        </tpls>
      </n>
      <n v="52392.899999999994">
        <tpls c="2">
          <tpl fld="0" item="0"/>
          <tpl fld="3" item="313"/>
        </tpls>
      </n>
      <n v="37479.2736">
        <tpls c="2">
          <tpl fld="0" item="0"/>
          <tpl fld="3" item="312"/>
        </tpls>
      </n>
      <n v="182945.70000000004">
        <tpls c="2">
          <tpl fld="0" item="0"/>
          <tpl fld="3" item="311"/>
        </tpls>
      </n>
      <n v="192081.27720000001">
        <tpls c="2">
          <tpl fld="0" item="0"/>
          <tpl fld="3" item="310"/>
        </tpls>
      </n>
      <n v="141331.60800000001">
        <tpls c="2">
          <tpl fld="0" item="0"/>
          <tpl fld="3" item="309"/>
        </tpls>
      </n>
      <n v="159955.18110000005">
        <tpls c="2">
          <tpl fld="0" item="0"/>
          <tpl fld="3" item="308"/>
        </tpls>
      </n>
      <n v="230578.41410000005">
        <tpls c="2">
          <tpl fld="0" item="0"/>
          <tpl fld="3" item="307"/>
        </tpls>
      </n>
      <n v="255122.13280000005">
        <tpls c="2">
          <tpl fld="0" item="0"/>
          <tpl fld="3" item="306"/>
        </tpls>
      </n>
      <n v="25339.758000000002">
        <tpls c="2">
          <tpl fld="0" item="0"/>
          <tpl fld="3" item="305"/>
        </tpls>
      </n>
      <n v="42827.756400000006">
        <tpls c="2">
          <tpl fld="0" item="0"/>
          <tpl fld="3" item="304"/>
        </tpls>
      </n>
      <n v="142402.30200000005">
        <tpls c="2">
          <tpl fld="0" item="0"/>
          <tpl fld="3" item="303"/>
        </tpls>
      </n>
      <n v="160928.53919999997">
        <tpls c="2">
          <tpl fld="0" item="0"/>
          <tpl fld="3" item="302"/>
        </tpls>
      </n>
      <n v="119226.55889999997">
        <tpls c="2">
          <tpl fld="0" item="0"/>
          <tpl fld="3" item="301"/>
        </tpls>
      </n>
      <n v="126258.98159999998">
        <tpls c="2">
          <tpl fld="0" item="0"/>
          <tpl fld="3" item="300"/>
        </tpls>
      </n>
      <n v="54109.982399999994">
        <tpls c="2">
          <tpl fld="0" item="0"/>
          <tpl fld="3" item="299"/>
        </tpls>
      </n>
      <n v="16793.556000000008">
        <tpls c="2">
          <tpl fld="0" item="0"/>
          <tpl fld="3" item="298"/>
        </tpls>
      </n>
      <n v="23728.027799999996">
        <tpls c="2">
          <tpl fld="0" item="0"/>
          <tpl fld="3" item="297"/>
        </tpls>
      </n>
      <n v="4643.1008000000002">
        <tpls c="2">
          <tpl fld="0" item="0"/>
          <tpl fld="3" item="296"/>
        </tpls>
      </n>
      <n v="32120.82">
        <tpls c="2">
          <tpl fld="0" item="0"/>
          <tpl fld="3" item="295"/>
        </tpls>
      </n>
      <n v="89224.5">
        <tpls c="2">
          <tpl fld="0" item="0"/>
          <tpl fld="3" item="294"/>
        </tpls>
      </n>
      <n v="98823.130300000004">
        <tpls c="2">
          <tpl fld="0" item="0"/>
          <tpl fld="3" item="293"/>
        </tpls>
      </n>
      <n v="37891.26920000001">
        <tpls c="2">
          <tpl fld="0" item="0"/>
          <tpl fld="3" item="292"/>
        </tpls>
      </n>
      <n v="138597.41999999998">
        <tpls c="2">
          <tpl fld="0" item="0"/>
          <tpl fld="3" item="291"/>
        </tpls>
      </n>
      <n v="56836.9038">
        <tpls c="2">
          <tpl fld="0" item="0"/>
          <tpl fld="3" item="290"/>
        </tpls>
      </n>
      <n v="18816.876">
        <tpls c="2">
          <tpl fld="0" item="0"/>
          <tpl fld="3" item="289"/>
        </tpls>
      </n>
      <n v="1287.5673999999999">
        <tpls c="2">
          <tpl fld="0" item="0"/>
          <tpl fld="3" item="288"/>
        </tpls>
      </n>
      <n v="94286.712000000014">
        <tpls c="2">
          <tpl fld="0" item="0"/>
          <tpl fld="3" item="287"/>
        </tpls>
      </n>
      <n v="37339.454599999997">
        <tpls c="2">
          <tpl fld="0" item="0"/>
          <tpl fld="3" item="286"/>
        </tpls>
      </n>
      <n v="138959.32449999996">
        <tpls c="2">
          <tpl fld="0" item="0"/>
          <tpl fld="3" item="285"/>
        </tpls>
      </n>
      <n v="55733.274600000004">
        <tpls c="2">
          <tpl fld="0" item="0"/>
          <tpl fld="3" item="284"/>
        </tpls>
      </n>
      <n v="12342.251999999999">
        <tpls c="2">
          <tpl fld="0" item="0"/>
          <tpl fld="3" item="283"/>
        </tpls>
      </n>
      <n v="12323.859400000001">
        <tpls c="2">
          <tpl fld="0" item="0"/>
          <tpl fld="3" item="282"/>
        </tpls>
      </n>
      <n v="178.58080000000001">
        <tpls c="2">
          <tpl fld="0" item="0"/>
          <tpl fld="3" item="281"/>
        </tpls>
      </n>
      <n v="63329.915999999997">
        <tpls c="2">
          <tpl fld="0" item="0"/>
          <tpl fld="3" item="280"/>
        </tpls>
      </n>
      <n v="80197.055200000003">
        <tpls c="2">
          <tpl fld="0" item="0"/>
          <tpl fld="3" item="279"/>
        </tpls>
      </n>
      <n v="34108.932799999995">
        <tpls c="2">
          <tpl fld="0" item="0"/>
          <tpl fld="3" item="278"/>
        </tpls>
      </n>
      <n v="52392.9">
        <tpls c="2">
          <tpl fld="0" item="0"/>
          <tpl fld="3" item="277"/>
        </tpls>
      </n>
      <n v="37479.2736">
        <tpls c="2">
          <tpl fld="0" item="0"/>
          <tpl fld="3" item="276"/>
        </tpls>
      </n>
      <n v="179510.09999999998">
        <tpls c="2">
          <tpl fld="0" item="0"/>
          <tpl fld="3" item="275"/>
        </tpls>
      </n>
      <n v="195204.55">
        <tpls c="2">
          <tpl fld="0" item="0"/>
          <tpl fld="3" item="274"/>
        </tpls>
      </n>
      <n v="20468.049299999999">
        <tpls c="2">
          <tpl fld="0" item="0"/>
          <tpl fld="3" item="273"/>
        </tpls>
      </n>
      <n v="178651.2">
        <tpls c="2">
          <tpl fld="0" item="0"/>
          <tpl fld="3" item="272"/>
        </tpls>
      </n>
      <n v="192862.09539999999">
        <tpls c="2">
          <tpl fld="0" item="0"/>
          <tpl fld="3" item="271"/>
        </tpls>
      </n>
      <n v="22742.276999999998">
        <tpls c="2">
          <tpl fld="0" item="0"/>
          <tpl fld="3" item="270"/>
        </tpls>
      </n>
      <n v="3849853.3438000046">
        <tpls c="2">
          <tpl fld="0" item="0"/>
          <tpl fld="2" item="31"/>
        </tpls>
      </n>
      <n v="7143.3180000000029">
        <tpls c="2">
          <tpl fld="0" item="0"/>
          <tpl fld="3" item="269"/>
        </tpls>
      </n>
      <n v="32849.543999999994">
        <tpls c="2">
          <tpl fld="0" item="0"/>
          <tpl fld="3" item="268"/>
        </tpls>
      </n>
      <n v="24624.894000000004">
        <tpls c="2">
          <tpl fld="0" item="0"/>
          <tpl fld="3" item="267"/>
        </tpls>
      </n>
      <n v="21087.191999999999">
        <tpls c="2">
          <tpl fld="0" item="0"/>
          <tpl fld="3" item="266"/>
        </tpls>
      </n>
      <n v="38018.325800000006">
        <tpls c="2">
          <tpl fld="0" item="0"/>
          <tpl fld="3" item="265"/>
        </tpls>
      </n>
      <n v="12852.63">
        <tpls c="2">
          <tpl fld="0" item="0"/>
          <tpl fld="3" item="264"/>
        </tpls>
      </n>
      <n v="10908.005999999999">
        <tpls c="2">
          <tpl fld="0" item="0"/>
          <tpl fld="3" item="263"/>
        </tpls>
      </n>
      <n v="147483.90980000008">
        <tpls c="2">
          <tpl fld="0" item="0"/>
          <tpl fld="2" item="30"/>
        </tpls>
      </n>
      <n v="69934.276200000037">
        <tpls c="2">
          <tpl fld="0" item="0"/>
          <tpl fld="3" item="262"/>
        </tpls>
      </n>
      <n v="1198.992">
        <tpls c="2">
          <tpl fld="0" item="0"/>
          <tpl fld="3" item="261"/>
        </tpls>
      </n>
      <n v="1529.1779999999999">
        <tpls c="2">
          <tpl fld="0" item="0"/>
          <tpl fld="3" item="260"/>
        </tpls>
      </n>
      <n v="2248.1099999999997">
        <tpls c="2">
          <tpl fld="0" item="0"/>
          <tpl fld="3" item="259"/>
        </tpls>
      </n>
      <n v="57851.364000000009">
        <tpls c="2">
          <tpl fld="0" item="0"/>
          <tpl fld="3" item="258"/>
        </tpls>
      </n>
      <n v="93584.42300000001">
        <tpls c="2">
          <tpl fld="0" item="0"/>
          <tpl fld="3" item="257"/>
        </tpls>
      </n>
      <n v="63396.702000000005">
        <tpls c="2">
          <tpl fld="0" item="0"/>
          <tpl fld="3" item="256"/>
        </tpls>
      </n>
      <n v="67332.750000000029">
        <tpls c="2">
          <tpl fld="0" item="0"/>
          <tpl fld="3" item="255"/>
        </tpls>
      </n>
      <n v="6970.92">
        <tpls c="2">
          <tpl fld="0" item="0"/>
          <tpl fld="3" item="254"/>
        </tpls>
      </n>
      <n v="58777.530000000013">
        <tpls c="2">
          <tpl fld="0" item="0"/>
          <tpl fld="3" item="253"/>
        </tpls>
      </n>
      <n v="100569.35720000004">
        <tpls c="2">
          <tpl fld="0" item="0"/>
          <tpl fld="3" item="252"/>
        </tpls>
      </n>
      <n v="41069.351999999999">
        <tpls c="2">
          <tpl fld="0" item="0"/>
          <tpl fld="3" item="251"/>
        </tpls>
      </n>
      <n v="136970.658">
        <tpls c="2">
          <tpl fld="0" item="0"/>
          <tpl fld="3" item="250"/>
        </tpls>
      </n>
      <n v="195826.38910000003">
        <tpls c="2">
          <tpl fld="0" item="0"/>
          <tpl fld="3" item="249"/>
        </tpls>
      </n>
      <n v="200026.4154">
        <tpls c="2">
          <tpl fld="0" item="0"/>
          <tpl fld="3" item="248"/>
        </tpls>
      </n>
      <n v="129529.46400000001">
        <tpls c="2">
          <tpl fld="0" item="0"/>
          <tpl fld="3" item="247"/>
        </tpls>
      </n>
      <n v="14229.408000000001">
        <tpls c="2">
          <tpl fld="0" item="0"/>
          <tpl fld="3" item="246"/>
        </tpls>
      </n>
      <n v="107557.58399999999">
        <tpls c="2">
          <tpl fld="0" item="0"/>
          <tpl fld="3" item="245"/>
        </tpls>
      </n>
      <n v="412969.1998">
        <tpls c="2">
          <tpl fld="0" item="0"/>
          <tpl fld="3" item="244"/>
        </tpls>
      </n>
      <n v="387021.80400000012">
        <tpls c="2">
          <tpl fld="0" item="0"/>
          <tpl fld="3" item="243"/>
        </tpls>
      </n>
      <n v="130789.67690000001">
        <tpls c="2">
          <tpl fld="0" item="0"/>
          <tpl fld="3" item="242"/>
        </tpls>
      </n>
      <n v="213776.64000000001">
        <tpls c="2">
          <tpl fld="0" item="0"/>
          <tpl fld="3" item="241"/>
        </tpls>
      </n>
      <n v="195814.70299999998">
        <tpls c="2">
          <tpl fld="0" item="0"/>
          <tpl fld="3" item="240"/>
        </tpls>
      </n>
      <n v="92196.854699999996">
        <tpls c="2">
          <tpl fld="0" item="0"/>
          <tpl fld="3" item="239"/>
        </tpls>
      </n>
      <n v="106078.56">
        <tpls c="2">
          <tpl fld="0" item="0"/>
          <tpl fld="3" item="238"/>
        </tpls>
      </n>
      <n v="13765.92">
        <tpls c="2">
          <tpl fld="0" item="0"/>
          <tpl fld="3" item="237"/>
        </tpls>
      </n>
      <n v="395972.6399999999">
        <tpls c="2">
          <tpl fld="0" item="0"/>
          <tpl fld="3" item="236"/>
        </tpls>
      </n>
      <n v="379114.9325">
        <tpls c="2">
          <tpl fld="0" item="0"/>
          <tpl fld="3" item="235"/>
        </tpls>
      </n>
      <n v="126502.6611">
        <tpls c="2">
          <tpl fld="0" item="0"/>
          <tpl fld="3" item="234"/>
        </tpls>
      </n>
      <n v="212043.29999999993">
        <tpls c="2">
          <tpl fld="0" item="0"/>
          <tpl fld="3" item="233"/>
        </tpls>
      </n>
      <n v="195743.72010000004">
        <tpls c="2">
          <tpl fld="0" item="0"/>
          <tpl fld="3" item="232"/>
        </tpls>
      </n>
      <n v="91769.55230000001">
        <tpls c="2">
          <tpl fld="0" item="0"/>
          <tpl fld="3" item="231"/>
        </tpls>
      </n>
      <n v="141635.09999999998">
        <tpls c="2">
          <tpl fld="0" item="0"/>
          <tpl fld="3" item="230"/>
        </tpls>
      </n>
      <n v="133448.1">
        <tpls c="2">
          <tpl fld="0" item="0"/>
          <tpl fld="3" item="229"/>
        </tpls>
      </n>
      <n v="119083.63200000006">
        <tpls c="2">
          <tpl fld="0" item="0"/>
          <tpl fld="3" item="228"/>
        </tpls>
      </n>
      <n v="17342.277600000001">
        <tpls c="2">
          <tpl fld="0" item="0"/>
          <tpl fld="3" item="227"/>
        </tpls>
      </n>
      <n v="4713672.1469000047">
        <tpls c="2">
          <tpl fld="0" item="0"/>
          <tpl fld="2" item="29"/>
        </tpls>
      </n>
      <n v="19083.690000000002">
        <tpls c="2">
          <tpl fld="0" item="0"/>
          <tpl fld="3" item="226"/>
        </tpls>
      </n>
      <n v="39909.108399999997">
        <tpls c="2">
          <tpl fld="0" item="0"/>
          <tpl fld="3" item="225"/>
        </tpls>
      </n>
      <n v="1949.3999999999992">
        <tpls c="2">
          <tpl fld="0" item="0"/>
          <tpl fld="3" item="224"/>
        </tpls>
      </n>
      <n v="60942.198399999979">
        <tpls c="2">
          <tpl fld="0" item="0"/>
          <tpl fld="2" item="28"/>
        </tpls>
      </n>
      <n v="12087.239999999998">
        <tpls c="2">
          <tpl fld="0" item="0"/>
          <tpl fld="3" item="223"/>
        </tpls>
      </n>
      <n v="1548.624">
        <tpls c="2">
          <tpl fld="0" item="0"/>
          <tpl fld="3" item="222"/>
        </tpls>
      </n>
      <n v="22009.410000000007">
        <tpls c="2">
          <tpl fld="0" item="0"/>
          <tpl fld="3" item="221"/>
        </tpls>
      </n>
      <n v="21386.186800000003">
        <tpls c="2">
          <tpl fld="0" item="0"/>
          <tpl fld="3" item="220"/>
        </tpls>
      </n>
      <n v="2725.8480000000004">
        <tpls c="2">
          <tpl fld="0" item="0"/>
          <tpl fld="3" item="219"/>
        </tpls>
      </n>
      <n v="2696.6894999999995">
        <tpls c="2">
          <tpl fld="0" item="0"/>
          <tpl fld="3" item="218"/>
        </tpls>
      </n>
      <n v="17318.88">
        <tpls c="2">
          <tpl fld="0" item="0"/>
          <tpl fld="3" item="217"/>
        </tpls>
      </n>
      <n v="17056.468000000004">
        <tpls c="2">
          <tpl fld="0" item="0"/>
          <tpl fld="3" item="216"/>
        </tpls>
      </n>
      <n v="25992.678500000016">
        <tpls c="2">
          <tpl fld="0" item="0"/>
          <tpl fld="3" item="215"/>
        </tpls>
      </n>
      <n v="25761.027400000006">
        <tpls c="2">
          <tpl fld="0" item="0"/>
          <tpl fld="3" item="214"/>
        </tpls>
      </n>
      <n v="11804.578700000002">
        <tpls c="2">
          <tpl fld="0" item="0"/>
          <tpl fld="3" item="213"/>
        </tpls>
      </n>
      <n v="10203.689999999995">
        <tpls c="2">
          <tpl fld="0" item="0"/>
          <tpl fld="3" item="212"/>
        </tpls>
      </n>
      <n v="170591.32089999988">
        <tpls c="2">
          <tpl fld="0" item="0"/>
          <tpl fld="2" item="27"/>
        </tpls>
      </n>
      <n v="61034.609600000011">
        <tpls c="2">
          <tpl fld="0" item="0"/>
          <tpl fld="3" item="211"/>
        </tpls>
      </n>
      <n v="16897.080000000002">
        <tpls c="2">
          <tpl fld="0" item="0"/>
          <tpl fld="3" item="210"/>
        </tpls>
      </n>
      <n v="77931.689600000012">
        <tpls c="2">
          <tpl fld="0" item="0"/>
          <tpl fld="2" item="26"/>
        </tpls>
      </n>
      <n v="44484.267800000001">
        <tpls c="2">
          <tpl fld="0" item="0"/>
          <tpl fld="3" item="209"/>
        </tpls>
      </n>
      <n v="25725.22800000001">
        <tpls c="2">
          <tpl fld="0" item="0"/>
          <tpl fld="3" item="208"/>
        </tpls>
      </n>
      <n v="70209.495800000033">
        <tpls c="2">
          <tpl fld="0" item="0"/>
          <tpl fld="2" item="25"/>
        </tpls>
      </n>
      <n v="148622.5822">
        <tpls c="2">
          <tpl fld="0" item="0"/>
          <tpl fld="3" item="207"/>
        </tpls>
      </n>
      <n v="10464.792000000001">
        <tpls c="2">
          <tpl fld="0" item="0"/>
          <tpl fld="3" item="206"/>
        </tpls>
      </n>
      <n v="44855.244000000013">
        <tpls c="2">
          <tpl fld="0" item="0"/>
          <tpl fld="3" item="205"/>
        </tpls>
      </n>
      <n v="203942.61820000003">
        <tpls c="2">
          <tpl fld="0" item="0"/>
          <tpl fld="2" item="24"/>
        </tpls>
      </n>
      <n v="9377.7101999999977">
        <tpls c="2">
          <tpl fld="0" item="0"/>
          <tpl fld="3" item="204"/>
        </tpls>
      </n>
      <n v="9377.7101999999977">
        <tpls c="2">
          <tpl fld="0" item="0"/>
          <tpl fld="2" item="23"/>
        </tpls>
      </n>
      <n v="50299.311000000002">
        <tpls c="2">
          <tpl fld="0" item="0"/>
          <tpl fld="3" item="203"/>
        </tpls>
      </n>
      <n v="15719.399999999998">
        <tpls c="2">
          <tpl fld="0" item="0"/>
          <tpl fld="3" item="202"/>
        </tpls>
      </n>
      <n v="66018.711000000025">
        <tpls c="2">
          <tpl fld="0" item="0"/>
          <tpl fld="2" item="22"/>
        </tpls>
      </n>
      <n v="39581.442000000017">
        <tpls c="2">
          <tpl fld="0" item="0"/>
          <tpl fld="3" item="201"/>
        </tpls>
      </n>
      <n v="12244.931999999997">
        <tpls c="2">
          <tpl fld="0" item="0"/>
          <tpl fld="3" item="200"/>
        </tpls>
      </n>
      <n v="51826.374000000025">
        <tpls c="2">
          <tpl fld="0" item="0"/>
          <tpl fld="2" item="21"/>
        </tpls>
      </n>
      <n v="11799076.658399984">
        <tpls c="2">
          <tpl fld="0" item="0"/>
          <tpl fld="1" item="3"/>
        </tpls>
      </n>
      <n v="12839.7">
        <tpls c="2">
          <tpl fld="0" item="0"/>
          <tpl fld="3" item="199"/>
        </tpls>
      </n>
      <n v="90250.600999999995">
        <tpls c="2">
          <tpl fld="0" item="0"/>
          <tpl fld="3" item="198"/>
        </tpls>
      </n>
      <n v="156398.06969999999">
        <tpls c="2">
          <tpl fld="0" item="0"/>
          <tpl fld="3" item="197"/>
        </tpls>
      </n>
      <n v="259488.37069999991">
        <tpls c="2">
          <tpl fld="0" item="0"/>
          <tpl fld="2" item="20"/>
        </tpls>
      </n>
      <n v="93554.464700000011">
        <tpls c="2">
          <tpl fld="0" item="0"/>
          <tpl fld="3" item="196"/>
        </tpls>
      </n>
      <n v="17727.635999999995">
        <tpls c="2">
          <tpl fld="0" item="0"/>
          <tpl fld="3" item="195"/>
        </tpls>
      </n>
      <n v="90550.905300000013">
        <tpls c="2">
          <tpl fld="0" item="0"/>
          <tpl fld="3" item="194"/>
        </tpls>
      </n>
      <n v="201833.00600000005">
        <tpls c="2">
          <tpl fld="0" item="0"/>
          <tpl fld="2" item="19"/>
        </tpls>
      </n>
      <n v="13784.590299999938">
        <tpls c="2">
          <tpl fld="0" item="0"/>
          <tpl fld="3" item="193"/>
        </tpls>
      </n>
      <n v="9387.1493999999366">
        <tpls c="2">
          <tpl fld="0" item="0"/>
          <tpl fld="3" item="192"/>
        </tpls>
      </n>
      <n v="512.99999999999989">
        <tpls c="2">
          <tpl fld="0" item="0"/>
          <tpl fld="3" item="191"/>
        </tpls>
      </n>
      <n v="6060.3884000000007">
        <tpls c="2">
          <tpl fld="0" item="0"/>
          <tpl fld="3" item="190"/>
        </tpls>
      </n>
      <n v="29745.128099999871">
        <tpls c="2">
          <tpl fld="0" item="0"/>
          <tpl fld="2" item="18"/>
        </tpls>
      </n>
      <n v="136774.01720000012">
        <tpls c="2">
          <tpl fld="0" item="0"/>
          <tpl fld="3" item="189"/>
        </tpls>
      </n>
      <n v="57685.75800000038">
        <tpls c="2">
          <tpl fld="0" item="0"/>
          <tpl fld="3" item="188"/>
        </tpls>
      </n>
      <n v="137164.12770000019">
        <tpls c="2">
          <tpl fld="0" item="0"/>
          <tpl fld="3" item="187"/>
        </tpls>
      </n>
      <n v="16017.329999999994">
        <tpls c="2">
          <tpl fld="0" item="0"/>
          <tpl fld="3" item="186"/>
        </tpls>
      </n>
      <n v="45516.296799999989">
        <tpls c="2">
          <tpl fld="0" item="0"/>
          <tpl fld="3" item="185"/>
        </tpls>
      </n>
      <n v="20364.997299999992">
        <tpls c="2">
          <tpl fld="0" item="0"/>
          <tpl fld="3" item="184"/>
        </tpls>
      </n>
      <n v="413522.52699999639">
        <tpls c="2">
          <tpl fld="0" item="0"/>
          <tpl fld="2" item="17"/>
        </tpls>
      </n>
      <n v="129145.57049999994">
        <tpls c="2">
          <tpl fld="0" item="0"/>
          <tpl fld="3" item="183"/>
        </tpls>
      </n>
      <n v="98472.717299999582">
        <tpls c="2">
          <tpl fld="0" item="0"/>
          <tpl fld="3" item="182"/>
        </tpls>
      </n>
      <n v="21973.929999999931">
        <tpls c="2">
          <tpl fld="0" item="0"/>
          <tpl fld="3" item="181"/>
        </tpls>
      </n>
      <n v="71606.07320000013">
        <tpls c="2">
          <tpl fld="0" item="0"/>
          <tpl fld="3" item="180"/>
        </tpls>
      </n>
      <n v="50328.832300000387">
        <tpls c="2">
          <tpl fld="0" item="0"/>
          <tpl fld="3" item="179"/>
        </tpls>
      </n>
      <n v="31612.015100000004">
        <tpls c="2">
          <tpl fld="0" item="0"/>
          <tpl fld="3" item="178"/>
        </tpls>
      </n>
      <n v="13670.349600000001">
        <tpls c="2">
          <tpl fld="0" item="0"/>
          <tpl fld="3" item="177"/>
        </tpls>
      </n>
      <n v="104189.35819999943">
        <tpls c="2">
          <tpl fld="0" item="0"/>
          <tpl fld="3" item="176"/>
        </tpls>
      </n>
      <n v="66166.122600000002">
        <tpls c="2">
          <tpl fld="0" item="0"/>
          <tpl fld="3" item="175"/>
        </tpls>
      </n>
      <n v="28399.494599999998">
        <tpls c="2">
          <tpl fld="0" item="0"/>
          <tpl fld="3" item="174"/>
        </tpls>
      </n>
      <n v="67145.08840000027">
        <tpls c="2">
          <tpl fld="0" item="0"/>
          <tpl fld="3" item="173"/>
        </tpls>
      </n>
      <n v="35500.871799999986">
        <tpls c="2">
          <tpl fld="0" item="0"/>
          <tpl fld="3" item="172"/>
        </tpls>
      </n>
      <n v="12603.254800000002">
        <tpls c="2">
          <tpl fld="0" item="0"/>
          <tpl fld="3" item="171"/>
        </tpls>
      </n>
      <n v="21445.70999999993">
        <tpls c="2">
          <tpl fld="0" item="0"/>
          <tpl fld="3" item="170"/>
        </tpls>
      </n>
      <n v="752259.38839997468">
        <tpls c="2">
          <tpl fld="0" item="0"/>
          <tpl fld="2" item="16"/>
        </tpls>
      </n>
      <n v="69622.198999999993">
        <tpls c="2">
          <tpl fld="0" item="0"/>
          <tpl fld="3" item="169"/>
        </tpls>
      </n>
      <n v="47987.935200000007">
        <tpls c="2">
          <tpl fld="0" item="0"/>
          <tpl fld="3" item="168"/>
        </tpls>
      </n>
      <n v="11237.441999999999">
        <tpls c="2">
          <tpl fld="0" item="0"/>
          <tpl fld="3" item="167"/>
        </tpls>
      </n>
      <n v="18701.847299999914">
        <tpls c="2">
          <tpl fld="0" item="0"/>
          <tpl fld="3" item="166"/>
        </tpls>
      </n>
      <n v="4210.4122000000007">
        <tpls c="2">
          <tpl fld="0" item="0"/>
          <tpl fld="3" item="165"/>
        </tpls>
      </n>
      <n v="39674.390300000203">
        <tpls c="2">
          <tpl fld="0" item="0"/>
          <tpl fld="3" item="164"/>
        </tpls>
      </n>
      <n v="14871.097200000002">
        <tpls c="2">
          <tpl fld="0" item="0"/>
          <tpl fld="3" item="163"/>
        </tpls>
      </n>
      <n v="29152.452899999924">
        <tpls c="2">
          <tpl fld="0" item="0"/>
          <tpl fld="3" item="162"/>
        </tpls>
      </n>
      <n v="7338.0981000000002">
        <tpls c="2">
          <tpl fld="0" item="0"/>
          <tpl fld="3" item="161"/>
        </tpls>
      </n>
      <n v="242795.87420000287">
        <tpls c="2">
          <tpl fld="0" item="0"/>
          <tpl fld="2" item="15"/>
        </tpls>
      </n>
      <n v="34449.602099999742">
        <tpls c="2">
          <tpl fld="0" item="0"/>
          <tpl fld="3" item="160"/>
        </tpls>
      </n>
      <n v="11698.796799999998">
        <tpls c="2">
          <tpl fld="0" item="0"/>
          <tpl fld="3" item="159"/>
        </tpls>
      </n>
      <n v="5081.0471999999982">
        <tpls c="2">
          <tpl fld="0" item="0"/>
          <tpl fld="3" item="158"/>
        </tpls>
      </n>
      <n v="51229.446100000205">
        <tpls c="2">
          <tpl fld="0" item="0"/>
          <tpl fld="2" item="14"/>
        </tpls>
      </n>
      <n v="34178.202000000005">
        <tpls c="2">
          <tpl fld="0" item="0"/>
          <tpl fld="3" item="157"/>
        </tpls>
      </n>
      <n v="85581.111200000014">
        <tpls c="2">
          <tpl fld="0" item="0"/>
          <tpl fld="3" item="156"/>
        </tpls>
      </n>
      <n v="46980.395400000001">
        <tpls c="2">
          <tpl fld="0" item="0"/>
          <tpl fld="3" item="155"/>
        </tpls>
      </n>
      <n v="166739.70860000007">
        <tpls c="2">
          <tpl fld="0" item="0"/>
          <tpl fld="2" item="13"/>
        </tpls>
      </n>
      <n v="2117613.4490999151">
        <tpls c="2">
          <tpl fld="0" item="0"/>
          <tpl fld="1" item="2"/>
        </tpls>
      </n>
      <n v="348581.50510000042">
        <tpls c="2">
          <tpl fld="0" item="0"/>
          <tpl fld="3" item="154"/>
        </tpls>
      </n>
      <n v="133365.03419999999">
        <tpls c="2">
          <tpl fld="0" item="0"/>
          <tpl fld="3" item="153"/>
        </tpls>
      </n>
      <n v="772302.01229999831">
        <tpls c="2">
          <tpl fld="0" item="0"/>
          <tpl fld="3" item="152"/>
        </tpls>
      </n>
      <n v="286218.66000000061">
        <tpls c="2">
          <tpl fld="0" item="0"/>
          <tpl fld="3" item="151"/>
        </tpls>
      </n>
      <n v="438867.47810000065">
        <tpls c="2">
          <tpl fld="0" item="0"/>
          <tpl fld="3" item="150"/>
        </tpls>
      </n>
      <n v="1721242.5143999932">
        <tpls c="2">
          <tpl fld="0" item="0"/>
          <tpl fld="3" item="149"/>
        </tpls>
      </n>
      <n v="743353.02600000112">
        <tpls c="2">
          <tpl fld="0" item="0"/>
          <tpl fld="3" item="148"/>
        </tpls>
      </n>
      <n v="1071401.0580000007">
        <tpls c="2">
          <tpl fld="0" item="0"/>
          <tpl fld="3" item="147"/>
        </tpls>
      </n>
      <n v="1586953.5730999925">
        <tpls c="2">
          <tpl fld="0" item="0"/>
          <tpl fld="3" item="146"/>
        </tpls>
      </n>
      <n v="351547.71270000032">
        <tpls c="2">
          <tpl fld="0" item="0"/>
          <tpl fld="3" item="145"/>
        </tpls>
      </n>
      <n v="130898.57620000001">
        <tpls c="2">
          <tpl fld="0" item="0"/>
          <tpl fld="3" item="144"/>
        </tpls>
      </n>
      <n v="196809.9770000003">
        <tpls c="2">
          <tpl fld="0" item="0"/>
          <tpl fld="3" item="143"/>
        </tpls>
      </n>
      <n v="291747.26290000044">
        <tpls c="2">
          <tpl fld="0" item="0"/>
          <tpl fld="3" item="142"/>
        </tpls>
      </n>
      <n v="358121.89010000037">
        <tpls c="2">
          <tpl fld="0" item="0"/>
          <tpl fld="3" item="141"/>
        </tpls>
      </n>
      <n v="135284.00880000001">
        <tpls c="2">
          <tpl fld="0" item="0"/>
          <tpl fld="3" item="140"/>
        </tpls>
      </n>
      <n v="210946.17700000043">
        <tpls c="2">
          <tpl fld="0" item="0"/>
          <tpl fld="3" item="139"/>
        </tpls>
      </n>
      <n v="290075.11930000037">
        <tpls c="2">
          <tpl fld="0" item="0"/>
          <tpl fld="3" item="138"/>
        </tpls>
      </n>
      <n v="1518133.1012999937">
        <tpls c="2">
          <tpl fld="0" item="0"/>
          <tpl fld="3" item="137"/>
        </tpls>
      </n>
      <n v="667158.14880000101">
        <tpls c="2">
          <tpl fld="0" item="0"/>
          <tpl fld="3" item="136"/>
        </tpls>
      </n>
      <n v="981187.84920000052">
        <tpls c="2">
          <tpl fld="0" item="0"/>
          <tpl fld="3" item="135"/>
        </tpls>
      </n>
      <n v="1426372.8693999932">
        <tpls c="2">
          <tpl fld="0" item="0"/>
          <tpl fld="3" item="134"/>
        </tpls>
      </n>
      <n v="635723.71589999867">
        <tpls c="2">
          <tpl fld="0" item="0"/>
          <tpl fld="3" item="133"/>
        </tpls>
      </n>
      <n v="14296291.269799992">
        <tpls c="2">
          <tpl fld="0" item="0"/>
          <tpl fld="2" item="12"/>
        </tpls>
      </n>
      <n v="515666.90649999713">
        <tpls c="2">
          <tpl fld="0" item="0"/>
          <tpl fld="3" item="132"/>
        </tpls>
      </n>
      <n v="578174.31299999717">
        <tpls c="2">
          <tpl fld="0" item="0"/>
          <tpl fld="3" item="131"/>
        </tpls>
      </n>
      <n v="290298.62400000048">
        <tpls c="2">
          <tpl fld="0" item="0"/>
          <tpl fld="3" item="130"/>
        </tpls>
      </n>
      <n v="361145.31199999934">
        <tpls c="2">
          <tpl fld="0" item="0"/>
          <tpl fld="3" item="129"/>
        </tpls>
      </n>
      <n v="1774883.5571999981">
        <tpls c="2">
          <tpl fld="0" item="0"/>
          <tpl fld="3" item="128"/>
        </tpls>
      </n>
      <n v="694003.9199999983">
        <tpls c="2">
          <tpl fld="0" item="0"/>
          <tpl fld="3" item="127"/>
        </tpls>
      </n>
      <n v="1120066.3642999979">
        <tpls c="2">
          <tpl fld="0" item="0"/>
          <tpl fld="3" item="126"/>
        </tpls>
      </n>
      <n v="1657198.1824999978">
        <tpls c="2">
          <tpl fld="0" item="0"/>
          <tpl fld="3" item="125"/>
        </tpls>
      </n>
      <n v="697345.01909999829">
        <tpls c="2">
          <tpl fld="0" item="0"/>
          <tpl fld="3" item="124"/>
        </tpls>
      </n>
      <n v="536593.85859999992">
        <tpls c="2">
          <tpl fld="0" item="0"/>
          <tpl fld="3" item="123"/>
        </tpls>
      </n>
      <n v="434301.92399999907">
        <tpls c="2">
          <tpl fld="0" item="0"/>
          <tpl fld="3" item="122"/>
        </tpls>
      </n>
      <n v="283523.98750000005">
        <tpls c="2">
          <tpl fld="0" item="0"/>
          <tpl fld="3" item="121"/>
        </tpls>
      </n>
      <n v="558676.31399999815">
        <tpls c="2">
          <tpl fld="0" item="0"/>
          <tpl fld="3" item="120"/>
        </tpls>
      </n>
      <n v="373363.27500000002">
        <tpls c="2">
          <tpl fld="0" item="0"/>
          <tpl fld="3" item="119"/>
        </tpls>
      </n>
      <n v="605087.90619999822">
        <tpls c="2">
          <tpl fld="0" item="0"/>
          <tpl fld="3" item="118"/>
        </tpls>
      </n>
      <n v="466203.87499999994">
        <tpls c="2">
          <tpl fld="0" item="0"/>
          <tpl fld="3" item="117"/>
        </tpls>
      </n>
      <n v="692002.52269999823">
        <tpls c="2">
          <tpl fld="0" item="0"/>
          <tpl fld="3" item="116"/>
        </tpls>
      </n>
      <n v="535907.55820000009">
        <tpls c="2">
          <tpl fld="0" item="0"/>
          <tpl fld="3" item="115"/>
        </tpls>
      </n>
      <n v="743267.06999999844">
        <tpls c="2">
          <tpl fld="0" item="0"/>
          <tpl fld="3" item="114"/>
        </tpls>
      </n>
      <n v="763110.5625">
        <tpls c="2">
          <tpl fld="0" item="0"/>
          <tpl fld="3" item="113"/>
        </tpls>
      </n>
      <n v="974896.649999997">
        <tpls c="2">
          <tpl fld="0" item="0"/>
          <tpl fld="3" item="112"/>
        </tpls>
      </n>
      <n v="1037551.125">
        <tpls c="2">
          <tpl fld="0" item="0"/>
          <tpl fld="3" item="111"/>
        </tpls>
      </n>
      <n v="1197858.2014999967">
        <tpls c="2">
          <tpl fld="0" item="0"/>
          <tpl fld="3" item="110"/>
        </tpls>
      </n>
      <n v="1149797.7519">
        <tpls c="2">
          <tpl fld="0" item="0"/>
          <tpl fld="3" item="109"/>
        </tpls>
      </n>
      <n v="1260279.9299999969">
        <tpls c="2">
          <tpl fld="0" item="0"/>
          <tpl fld="3" item="108"/>
        </tpls>
      </n>
      <n v="1256577.3848999999">
        <tpls c="2">
          <tpl fld="0" item="0"/>
          <tpl fld="3" item="107"/>
        </tpls>
      </n>
      <n v="762813.86999999825">
        <tpls c="2">
          <tpl fld="0" item="0"/>
          <tpl fld="3" item="106"/>
        </tpls>
      </n>
      <n v="824194.3125">
        <tpls c="2">
          <tpl fld="0" item="0"/>
          <tpl fld="3" item="105"/>
        </tpls>
      </n>
      <n v="1066766.6099999971">
        <tpls c="2">
          <tpl fld="0" item="0"/>
          <tpl fld="3" item="104"/>
        </tpls>
      </n>
      <n v="1343481.8614999964">
        <tpls c="2">
          <tpl fld="0" item="0"/>
          <tpl fld="3" item="103"/>
        </tpls>
      </n>
      <n v="1448122.4789999966">
        <tpls c="2">
          <tpl fld="0" item="0"/>
          <tpl fld="3" item="102"/>
        </tpls>
      </n>
      <n v="723179.74309999938">
        <tpls c="2">
          <tpl fld="0" item="0"/>
          <tpl fld="3" item="101"/>
        </tpls>
      </n>
      <n v="316911.27110000025">
        <tpls c="2">
          <tpl fld="0" item="0"/>
          <tpl fld="3" item="100"/>
        </tpls>
      </n>
      <n v="222995.55200000026">
        <tpls c="2">
          <tpl fld="0" item="0"/>
          <tpl fld="3" item="99"/>
        </tpls>
      </n>
      <n v="87387.271399999998">
        <tpls c="2">
          <tpl fld="0" item="0"/>
          <tpl fld="3" item="98"/>
        </tpls>
      </n>
      <n v="362853.85219999967">
        <tpls c="2">
          <tpl fld="0" item="0"/>
          <tpl fld="3" item="97"/>
        </tpls>
      </n>
      <n v="146391.15679999994">
        <tpls c="2">
          <tpl fld="0" item="0"/>
          <tpl fld="3" item="96"/>
        </tpls>
      </n>
      <n v="223465.34600000022">
        <tpls c="2">
          <tpl fld="0" item="0"/>
          <tpl fld="3" item="95"/>
        </tpls>
      </n>
      <n v="88785.467900000018">
        <tpls c="2">
          <tpl fld="0" item="0"/>
          <tpl fld="3" item="94"/>
        </tpls>
      </n>
      <n v="368516.12269999948">
        <tpls c="2">
          <tpl fld="0" item="0"/>
          <tpl fld="3" item="93"/>
        </tpls>
      </n>
      <n v="153382.13869999989">
        <tpls c="2">
          <tpl fld="0" item="0"/>
          <tpl fld="3" item="92"/>
        </tpls>
      </n>
      <n v="618769.51409999945">
        <tpls c="2">
          <tpl fld="0" item="0"/>
          <tpl fld="3" item="91"/>
        </tpls>
      </n>
      <n v="247480.75159999984">
        <tpls c="2">
          <tpl fld="0" item="0"/>
          <tpl fld="3" item="90"/>
        </tpls>
      </n>
      <n v="374582.41599999956">
        <tpls c="2">
          <tpl fld="0" item="0"/>
          <tpl fld="3" item="89"/>
        </tpls>
      </n>
      <n v="149047.72979999991">
        <tpls c="2">
          <tpl fld="0" item="0"/>
          <tpl fld="3" item="88"/>
        </tpls>
      </n>
      <n v="624046.16199999931">
        <tpls c="2">
          <tpl fld="0" item="0"/>
          <tpl fld="3" item="87"/>
        </tpls>
      </n>
      <n v="253492.99609999996">
        <tpls c="2">
          <tpl fld="0" item="0"/>
          <tpl fld="3" item="86"/>
        </tpls>
      </n>
      <n v="626604.34689999965">
        <tpls c="2">
          <tpl fld="0" item="0"/>
          <tpl fld="3" item="85"/>
        </tpls>
      </n>
      <n v="311098.68490000017">
        <tpls c="2">
          <tpl fld="0" item="0"/>
          <tpl fld="3" item="84"/>
        </tpls>
      </n>
      <n v="621815.97159999958">
        <tpls c="2">
          <tpl fld="0" item="0"/>
          <tpl fld="3" item="83"/>
        </tpls>
      </n>
      <n v="252374.4387">
        <tpls c="2">
          <tpl fld="0" item="0"/>
          <tpl fld="3" item="82"/>
        </tpls>
      </n>
      <n v="703387.00859999983">
        <tpls c="2">
          <tpl fld="0" item="0"/>
          <tpl fld="3" item="81"/>
        </tpls>
      </n>
      <n v="306940.72920000006">
        <tpls c="2">
          <tpl fld="0" item="0"/>
          <tpl fld="3" item="80"/>
        </tpls>
      </n>
      <n v="224874.72800000026">
        <tpls c="2">
          <tpl fld="0" item="0"/>
          <tpl fld="3" item="79"/>
        </tpls>
      </n>
      <n v="79137.913100000005">
        <tpls c="2">
          <tpl fld="0" item="0"/>
          <tpl fld="3" item="78"/>
        </tpls>
      </n>
      <n v="621103.74">
        <tpls c="2">
          <tpl fld="0" item="0"/>
          <tpl fld="3" item="77"/>
        </tpls>
      </n>
      <n v="136467.86400000003">
        <tpls c="2">
          <tpl fld="0" item="0"/>
          <tpl fld="3" item="76"/>
        </tpls>
      </n>
      <n v="302678.72400000005">
        <tpls c="2">
          <tpl fld="0" item="0"/>
          <tpl fld="3" item="75"/>
        </tpls>
      </n>
      <n v="306177.90000000002">
        <tpls c="2">
          <tpl fld="0" item="0"/>
          <tpl fld="3" item="74"/>
        </tpls>
      </n>
      <n v="507978.29589999997">
        <tpls c="2">
          <tpl fld="0" item="0"/>
          <tpl fld="3" item="73"/>
        </tpls>
      </n>
      <n v="1847818.6280000051">
        <tpls c="2">
          <tpl fld="0" item="0"/>
          <tpl fld="3" item="72"/>
        </tpls>
      </n>
      <n v="1415563.6120000032">
        <tpls c="2">
          <tpl fld="0" item="0"/>
          <tpl fld="3" item="71"/>
        </tpls>
      </n>
      <n v="1540803.0620000043">
        <tpls c="2">
          <tpl fld="0" item="0"/>
          <tpl fld="3" item="70"/>
        </tpls>
      </n>
      <n v="1340419.9420000031">
        <tpls c="2">
          <tpl fld="0" item="0"/>
          <tpl fld="3" item="69"/>
        </tpls>
      </n>
      <n v="1769096.6880000054">
        <tpls c="2">
          <tpl fld="0" item="0"/>
          <tpl fld="3" item="68"/>
        </tpls>
      </n>
      <n v="43878790.997000113">
        <tpls c="2">
          <tpl fld="0" item="0"/>
          <tpl fld="2" item="11"/>
        </tpls>
      </n>
      <n v="96982.203999999911">
        <tpls c="2">
          <tpl fld="0" item="0"/>
          <tpl fld="3" item="67"/>
        </tpls>
      </n>
      <n v="157569.08200000011">
        <tpls c="2">
          <tpl fld="0" item="0"/>
          <tpl fld="3" item="66"/>
        </tpls>
      </n>
      <n v="125925.66799999995">
        <tpls c="2">
          <tpl fld="0" item="0"/>
          <tpl fld="3" item="65"/>
        </tpls>
      </n>
      <n v="136293.47600000005">
        <tpls c="2">
          <tpl fld="0" item="0"/>
          <tpl fld="3" item="64"/>
        </tpls>
      </n>
      <n v="101734.11599999989">
        <tpls c="2">
          <tpl fld="0" item="0"/>
          <tpl fld="3" item="63"/>
        </tpls>
      </n>
      <n v="161293.3452000001">
        <tpls c="2">
          <tpl fld="0" item="0"/>
          <tpl fld="3" item="62"/>
        </tpls>
      </n>
      <n v="142897.27080000006">
        <tpls c="2">
          <tpl fld="0" item="0"/>
          <tpl fld="3" item="61"/>
        </tpls>
      </n>
      <n v="122512.43160000007">
        <tpls c="2">
          <tpl fld="0" item="0"/>
          <tpl fld="3" item="60"/>
        </tpls>
      </n>
      <n v="141360.49800000002">
        <tpls c="2">
          <tpl fld="0" item="0"/>
          <tpl fld="3" item="59"/>
        </tpls>
      </n>
      <n v="145089.43200000003">
        <tpls c="2">
          <tpl fld="0" item="0"/>
          <tpl fld="3" item="58"/>
        </tpls>
      </n>
      <n v="227347.66730000058">
        <tpls c="2">
          <tpl fld="0" item="0"/>
          <tpl fld="3" item="57"/>
        </tpls>
      </n>
      <n v="217457.87400000053">
        <tpls c="2">
          <tpl fld="0" item="0"/>
          <tpl fld="3" item="56"/>
        </tpls>
      </n>
      <n v="323703.82069999957">
        <tpls c="2">
          <tpl fld="0" item="0"/>
          <tpl fld="3" item="55"/>
        </tpls>
      </n>
      <n v="241773.75800000067">
        <tpls c="2">
          <tpl fld="0" item="0"/>
          <tpl fld="3" item="54"/>
        </tpls>
      </n>
      <n v="479071.90010000014">
        <tpls c="2">
          <tpl fld="0" item="0"/>
          <tpl fld="3" item="53"/>
        </tpls>
      </n>
      <n v="484051.51799999998">
        <tpls c="2">
          <tpl fld="0" item="0"/>
          <tpl fld="3" item="52"/>
        </tpls>
      </n>
      <n v="501648.87509999995">
        <tpls c="2">
          <tpl fld="0" item="0"/>
          <tpl fld="3" item="51"/>
        </tpls>
      </n>
      <n v="442477.08699999994">
        <tpls c="2">
          <tpl fld="0" item="0"/>
          <tpl fld="3" item="50"/>
        </tpls>
      </n>
      <n v="1957528.2444999963">
        <tpls c="2">
          <tpl fld="0" item="0"/>
          <tpl fld="3" item="49"/>
        </tpls>
      </n>
      <n v="1352144.9725000015">
        <tpls c="2">
          <tpl fld="0" item="0"/>
          <tpl fld="3" item="48"/>
        </tpls>
      </n>
      <n v="2265485.3790999958">
        <tpls c="2">
          <tpl fld="0" item="0"/>
          <tpl fld="3" item="47"/>
        </tpls>
      </n>
      <n v="1744009.3828000014">
        <tpls c="2">
          <tpl fld="0" item="0"/>
          <tpl fld="3" item="46"/>
        </tpls>
      </n>
      <n v="2589363.7773999958">
        <tpls c="2">
          <tpl fld="0" item="0"/>
          <tpl fld="3" item="45"/>
        </tpls>
      </n>
      <n v="1811229.0230000014">
        <tpls c="2">
          <tpl fld="0" item="0"/>
          <tpl fld="3" item="44"/>
        </tpls>
      </n>
      <n v="1906248.5513999965">
        <tpls c="2">
          <tpl fld="0" item="0"/>
          <tpl fld="3" item="43"/>
        </tpls>
      </n>
      <n v="1528008.3906000038">
        <tpls c="2">
          <tpl fld="0" item="0"/>
          <tpl fld="3" item="42"/>
        </tpls>
      </n>
      <n v="1914547.8516999967">
        <tpls c="2">
          <tpl fld="0" item="0"/>
          <tpl fld="3" item="41"/>
        </tpls>
      </n>
      <n v="1523931.0089000037">
        <tpls c="2">
          <tpl fld="0" item="0"/>
          <tpl fld="3" item="40"/>
        </tpls>
      </n>
      <n v="2160981.5973999961">
        <tpls c="2">
          <tpl fld="0" item="0"/>
          <tpl fld="3" item="39"/>
        </tpls>
      </n>
      <n v="1532696.4280000036">
        <tpls c="2">
          <tpl fld="0" item="0"/>
          <tpl fld="3" item="38"/>
        </tpls>
      </n>
      <n v="1234276.0308999997">
        <tpls c="2">
          <tpl fld="0" item="0"/>
          <tpl fld="3" item="37"/>
        </tpls>
      </n>
      <n v="1365852.3782999995">
        <tpls c="2">
          <tpl fld="0" item="0"/>
          <tpl fld="3" item="36"/>
        </tpls>
      </n>
      <n v="1254722.7325999998">
        <tpls c="2">
          <tpl fld="0" item="0"/>
          <tpl fld="3" item="35"/>
        </tpls>
      </n>
      <n v="1339997.2547999998">
        <tpls c="2">
          <tpl fld="0" item="0"/>
          <tpl fld="3" item="34"/>
        </tpls>
      </n>
      <n v="1019657.0011999997">
        <tpls c="2">
          <tpl fld="0" item="0"/>
          <tpl fld="3" item="33"/>
        </tpls>
      </n>
      <n v="1217210.3605">
        <tpls c="2">
          <tpl fld="0" item="0"/>
          <tpl fld="3" item="32"/>
        </tpls>
      </n>
      <n v="1186494.8504999997">
        <tpls c="2">
          <tpl fld="0" item="0"/>
          <tpl fld="3" item="31"/>
        </tpls>
      </n>
      <n v="1291868.7009999994">
        <tpls c="2">
          <tpl fld="0" item="0"/>
          <tpl fld="3" item="30"/>
        </tpls>
      </n>
      <n v="36445443.940901488">
        <tpls c="2">
          <tpl fld="0" item="0"/>
          <tpl fld="2" item="10"/>
        </tpls>
      </n>
      <n v="94620526.207695395">
        <tpls c="2">
          <tpl fld="0" item="0"/>
          <tpl fld="1" item="1"/>
        </tpls>
      </n>
      <n v="27105.649999999863">
        <tpls c="2">
          <tpl fld="0" item="0"/>
          <tpl fld="3" item="29"/>
        </tpls>
      </n>
      <n v="27970.800000000156">
        <tpls c="2">
          <tpl fld="0" item="0"/>
          <tpl fld="3" item="28"/>
        </tpls>
      </n>
      <n v="23140.73999999986">
        <tpls c="2">
          <tpl fld="0" item="0"/>
          <tpl fld="3" item="27"/>
        </tpls>
      </n>
      <n v="22435.559999999834">
        <tpls c="2">
          <tpl fld="0" item="0"/>
          <tpl fld="3" item="26"/>
        </tpls>
      </n>
      <n v="48860">
        <tpls c="2">
          <tpl fld="0" item="0"/>
          <tpl fld="3" item="25"/>
        </tpls>
      </n>
      <n v="34818.389999999956">
        <tpls c="2">
          <tpl fld="0" item="0"/>
          <tpl fld="3" item="24"/>
        </tpls>
      </n>
      <n v="21541.379999999866">
        <tpls c="2">
          <tpl fld="0" item="0"/>
          <tpl fld="3" item="23"/>
        </tpls>
      </n>
      <n v="7425.1199999999199">
        <tpls c="2">
          <tpl fld="0" item="0"/>
          <tpl fld="3" item="22"/>
        </tpls>
      </n>
      <n v="9480.239999999867">
        <tpls c="2">
          <tpl fld="0" item="0"/>
          <tpl fld="3" item="21"/>
        </tpls>
      </n>
      <n v="15444.049999999781">
        <tpls c="2">
          <tpl fld="0" item="0"/>
          <tpl fld="3" item="20"/>
        </tpls>
      </n>
      <n v="8232.5975999999009">
        <tpls c="2">
          <tpl fld="0" item="0"/>
          <tpl fld="3" item="19"/>
        </tpls>
      </n>
      <n v="246454.52760000536">
        <tpls c="2">
          <tpl fld="0" item="0"/>
          <tpl fld="2" item="9"/>
        </tpls>
      </n>
      <n v="13514.687299999998">
        <tpls c="2">
          <tpl fld="0" item="0"/>
          <tpl fld="3" item="18"/>
        </tpls>
      </n>
      <n v="13514.687299999998">
        <tpls c="2">
          <tpl fld="0" item="0"/>
          <tpl fld="2" item="8"/>
        </tpls>
      </n>
      <n v="16225.220000000001">
        <tpls c="2">
          <tpl fld="0" item="0"/>
          <tpl fld="3" item="17"/>
        </tpls>
      </n>
      <n v="16225.220000000001">
        <tpls c="2">
          <tpl fld="0" item="0"/>
          <tpl fld="2" item="7"/>
        </tpls>
      </n>
      <n v="105826.41849999951">
        <tpls c="2">
          <tpl fld="0" item="0"/>
          <tpl fld="3" item="16"/>
        </tpls>
      </n>
      <n v="105826.41849999951">
        <tpls c="2">
          <tpl fld="0" item="0"/>
          <tpl fld="2" item="6"/>
        </tpls>
      </n>
      <n v="118279.77300000009">
        <tpls c="2">
          <tpl fld="0" item="0"/>
          <tpl fld="3" item="15"/>
        </tpls>
      </n>
      <n v="33795.263500000001">
        <tpls c="2">
          <tpl fld="0" item="0"/>
          <tpl fld="3" item="14"/>
        </tpls>
      </n>
      <n v="13331.581600000001">
        <tpls c="2">
          <tpl fld="0" item="0"/>
          <tpl fld="3" item="13"/>
        </tpls>
      </n>
      <n v="116904.61020000008">
        <tpls c="2">
          <tpl fld="0" item="0"/>
          <tpl fld="3" item="12"/>
        </tpls>
      </n>
      <n v="31866.829899999997">
        <tpls c="2">
          <tpl fld="0" item="0"/>
          <tpl fld="3" item="11"/>
        </tpls>
      </n>
      <n v="12098.078800000001">
        <tpls c="2">
          <tpl fld="0" item="0"/>
          <tpl fld="3" item="10"/>
        </tpls>
      </n>
      <n v="117355.85860000024">
        <tpls c="2">
          <tpl fld="0" item="0"/>
          <tpl fld="3" item="9"/>
        </tpls>
      </n>
      <n v="29031.350699999995">
        <tpls c="2">
          <tpl fld="0" item="0"/>
          <tpl fld="3" item="8"/>
        </tpls>
      </n>
      <n v="11385.186">
        <tpls c="2">
          <tpl fld="0" item="0"/>
          <tpl fld="3" item="7"/>
        </tpls>
      </n>
      <n v="484048.53229999635">
        <tpls c="2">
          <tpl fld="0" item="0"/>
          <tpl fld="2" item="5"/>
        </tpls>
      </n>
      <n v="46619.579999999507">
        <tpls c="2">
          <tpl fld="0" item="0"/>
          <tpl fld="3" item="6"/>
        </tpls>
      </n>
      <n v="46619.579999999507">
        <tpls c="2">
          <tpl fld="0" item="0"/>
          <tpl fld="2" item="4"/>
        </tpls>
      </n>
      <n v="18406.972500000011">
        <tpls c="2">
          <tpl fld="0" item="0"/>
          <tpl fld="3" item="5"/>
        </tpls>
      </n>
      <n v="18406.972500000011">
        <tpls c="2">
          <tpl fld="0" item="0"/>
          <tpl fld="2" item="3"/>
        </tpls>
      </n>
      <n v="15390.879999999841">
        <tpls c="2">
          <tpl fld="0" item="0"/>
          <tpl fld="3" item="4"/>
        </tpls>
      </n>
      <n v="20229.749999999745">
        <tpls c="2">
          <tpl fld="0" item="0"/>
          <tpl fld="3" item="3"/>
        </tpls>
      </n>
      <n v="28654.163599999407">
        <tpls c="2">
          <tpl fld="0" item="0"/>
          <tpl fld="3" item="2"/>
        </tpls>
      </n>
      <n v="64274.793600001009">
        <tpls c="2">
          <tpl fld="0" item="0"/>
          <tpl fld="2" item="2"/>
        </tpls>
      </n>
      <n v="39591">
        <tpls c="2">
          <tpl fld="0" item="0"/>
          <tpl fld="3" item="1"/>
        </tpls>
      </n>
      <n v="39591">
        <tpls c="2">
          <tpl fld="0" item="0"/>
          <tpl fld="2" item="1"/>
        </tpls>
      </n>
      <n v="237096.15599999999">
        <tpls c="2">
          <tpl fld="0" item="0"/>
          <tpl fld="3" item="0"/>
        </tpls>
      </n>
      <n v="237096.15599999999">
        <tpls c="2">
          <tpl fld="0" item="0"/>
          <tpl fld="2" item="0"/>
        </tpls>
      </n>
      <n v="1272057.8877997734">
        <tpls c="2">
          <tpl fld="0" item="0"/>
          <tpl fld="1" item="0"/>
        </tpls>
      </n>
    </entries>
    <queryCache count="391">
      <query mdx="[Measures].[Sales Amount]">
        <tpls c="1">
          <tpl fld="0" item="0"/>
        </tpls>
      </query>
      <query mdx="[Product].[Product Categories].[Category].&amp;[4]">
        <tpls c="1">
          <tpl fld="1" item="0"/>
        </tpls>
      </query>
      <query mdx="[Product].[Product Categories].[Subcategory].&amp;[26]">
        <tpls c="1">
          <tpl fld="2" item="0"/>
        </tpls>
      </query>
      <query mdx="[Product].[Product Categories].[Product Name].&amp;[483]">
        <tpls c="1">
          <tpl fld="3" item="0"/>
        </tpls>
      </query>
      <query mdx="[Product].[Product Categories].[Subcategory].&amp;[27]">
        <tpls c="1">
          <tpl fld="2" item="1"/>
        </tpls>
      </query>
      <query mdx="[Product].[Product Categories].[Product Name].&amp;[486]">
        <tpls c="1">
          <tpl fld="3" item="1"/>
        </tpls>
      </query>
      <query mdx="[Product].[Product Categories].[Subcategory].&amp;[28]">
        <tpls c="1">
          <tpl fld="2" item="2"/>
        </tpls>
      </query>
      <query mdx="[Product].[Product Categories].[Product Name].&amp;[477]">
        <tpls c="1">
          <tpl fld="3" item="2"/>
        </tpls>
      </query>
      <query mdx="[Product].[Product Categories].[Product Name].&amp;[478]">
        <tpls c="1">
          <tpl fld="3" item="3"/>
        </tpls>
      </query>
      <query mdx="[Product].[Product Categories].[Product Name].&amp;[479]">
        <tpls c="1">
          <tpl fld="3" item="4"/>
        </tpls>
      </query>
      <query mdx="[Product].[Product Categories].[Subcategory].&amp;[29]">
        <tpls c="1">
          <tpl fld="2" item="3"/>
        </tpls>
      </query>
      <query mdx="[Product].[Product Categories].[Product Name].&amp;[484]">
        <tpls c="1">
          <tpl fld="3" item="5"/>
        </tpls>
      </query>
      <query mdx="[Product].[Product Categories].[Subcategory].&amp;[30]">
        <tpls c="1">
          <tpl fld="2" item="4"/>
        </tpls>
      </query>
      <query mdx="[Product].[Product Categories].[Product Name].&amp;[485]">
        <tpls c="1">
          <tpl fld="3" item="6"/>
        </tpls>
      </query>
      <query mdx="[Product].[Product Categories].[Subcategory].&amp;[31]">
        <tpls c="1">
          <tpl fld="2" item="5"/>
        </tpls>
      </query>
      <query mdx="[Product].[Product Categories].[Product Name].&amp;[212]">
        <tpls c="1">
          <tpl fld="3" item="7"/>
        </tpls>
      </query>
      <query mdx="[Product].[Product Categories].[Product Name].&amp;[213]">
        <tpls c="1">
          <tpl fld="3" item="8"/>
        </tpls>
      </query>
      <query mdx="[Product].[Product Categories].[Product Name].&amp;[214]">
        <tpls c="1">
          <tpl fld="3" item="9"/>
        </tpls>
      </query>
      <query mdx="[Product].[Product Categories].[Product Name].&amp;[215]">
        <tpls c="1">
          <tpl fld="3" item="10"/>
        </tpls>
      </query>
      <query mdx="[Product].[Product Categories].[Product Name].&amp;[216]">
        <tpls c="1">
          <tpl fld="3" item="11"/>
        </tpls>
      </query>
      <query mdx="[Product].[Product Categories].[Product Name].&amp;[217]">
        <tpls c="1">
          <tpl fld="3" item="12"/>
        </tpls>
      </query>
      <query mdx="[Product].[Product Categories].[Product Name].&amp;[220]">
        <tpls c="1">
          <tpl fld="3" item="13"/>
        </tpls>
      </query>
      <query mdx="[Product].[Product Categories].[Product Name].&amp;[221]">
        <tpls c="1">
          <tpl fld="3" item="14"/>
        </tpls>
      </query>
      <query mdx="[Product].[Product Categories].[Product Name].&amp;[222]">
        <tpls c="1">
          <tpl fld="3" item="15"/>
        </tpls>
      </query>
      <query mdx="[Product].[Product Categories].[Subcategory].&amp;[32]">
        <tpls c="1">
          <tpl fld="2" item="6"/>
        </tpls>
      </query>
      <query mdx="[Product].[Product Categories].[Product Name].&amp;[487]">
        <tpls c="1">
          <tpl fld="3" item="16"/>
        </tpls>
      </query>
      <query mdx="[Product].[Product Categories].[Subcategory].&amp;[34]">
        <tpls c="1">
          <tpl fld="2" item="7"/>
        </tpls>
      </query>
      <query mdx="[Product].[Product Categories].[Product Name].&amp;[447]">
        <tpls c="1">
          <tpl fld="3" item="17"/>
        </tpls>
      </query>
      <query mdx="[Product].[Product Categories].[Subcategory].&amp;[36]">
        <tpls c="1">
          <tpl fld="2" item="8"/>
        </tpls>
      </query>
      <query mdx="[Product].[Product Categories].[Product Name].&amp;[448]">
        <tpls c="1">
          <tpl fld="3" item="18"/>
        </tpls>
      </query>
      <query mdx="[Product].[Product Categories].[Subcategory].&amp;[37]">
        <tpls c="1">
          <tpl fld="2" item="9"/>
        </tpls>
      </query>
      <query mdx="[Product].[Product Categories].[Product Name].&amp;[480]">
        <tpls c="1">
          <tpl fld="3" item="19"/>
        </tpls>
      </query>
      <query mdx="[Product].[Product Categories].[Product Name].&amp;[528]">
        <tpls c="1">
          <tpl fld="3" item="20"/>
        </tpls>
      </query>
      <query mdx="[Product].[Product Categories].[Product Name].&amp;[529]">
        <tpls c="1">
          <tpl fld="3" item="21"/>
        </tpls>
      </query>
      <query mdx="[Product].[Product Categories].[Product Name].&amp;[530]">
        <tpls c="1">
          <tpl fld="3" item="22"/>
        </tpls>
      </query>
      <query mdx="[Product].[Product Categories].[Product Name].&amp;[535]">
        <tpls c="1">
          <tpl fld="3" item="23"/>
        </tpls>
      </query>
      <query mdx="[Product].[Product Categories].[Product Name].&amp;[536]">
        <tpls c="1">
          <tpl fld="3" item="24"/>
        </tpls>
      </query>
      <query mdx="[Product].[Product Categories].[Product Name].&amp;[537]">
        <tpls c="1">
          <tpl fld="3" item="25"/>
        </tpls>
      </query>
      <query mdx="[Product].[Product Categories].[Product Name].&amp;[538]">
        <tpls c="1">
          <tpl fld="3" item="26"/>
        </tpls>
      </query>
      <query mdx="[Product].[Product Categories].[Product Name].&amp;[539]">
        <tpls c="1">
          <tpl fld="3" item="27"/>
        </tpls>
      </query>
      <query mdx="[Product].[Product Categories].[Product Name].&amp;[540]">
        <tpls c="1">
          <tpl fld="3" item="28"/>
        </tpls>
      </query>
      <query mdx="[Product].[Product Categories].[Product Name].&amp;[541]">
        <tpls c="1">
          <tpl fld="3" item="29"/>
        </tpls>
      </query>
      <query mdx="[Product].[Product Categories].[Category].&amp;[1]">
        <tpls c="1">
          <tpl fld="1" item="1"/>
        </tpls>
      </query>
      <query mdx="[Product].[Product Categories].[Subcategory].&amp;[1]">
        <tpls c="1">
          <tpl fld="2" item="10"/>
        </tpls>
      </query>
      <query mdx="[Product].[Product Categories].[Product Name].&amp;[344]">
        <tpls c="1">
          <tpl fld="3" item="30"/>
        </tpls>
      </query>
      <query mdx="[Product].[Product Categories].[Product Name].&amp;[345]">
        <tpls c="1">
          <tpl fld="3" item="31"/>
        </tpls>
      </query>
      <query mdx="[Product].[Product Categories].[Product Name].&amp;[346]">
        <tpls c="1">
          <tpl fld="3" item="32"/>
        </tpls>
      </query>
      <query mdx="[Product].[Product Categories].[Product Name].&amp;[347]">
        <tpls c="1">
          <tpl fld="3" item="33"/>
        </tpls>
      </query>
      <query mdx="[Product].[Product Categories].[Product Name].&amp;[348]">
        <tpls c="1">
          <tpl fld="3" item="34"/>
        </tpls>
      </query>
      <query mdx="[Product].[Product Categories].[Product Name].&amp;[349]">
        <tpls c="1">
          <tpl fld="3" item="35"/>
        </tpls>
      </query>
      <query mdx="[Product].[Product Categories].[Product Name].&amp;[350]">
        <tpls c="1">
          <tpl fld="3" item="36"/>
        </tpls>
      </query>
      <query mdx="[Product].[Product Categories].[Product Name].&amp;[351]">
        <tpls c="1">
          <tpl fld="3" item="37"/>
        </tpls>
      </query>
      <query mdx="[Product].[Product Categories].[Product Name].&amp;[352]">
        <tpls c="1">
          <tpl fld="3" item="38"/>
        </tpls>
      </query>
      <query mdx="[Product].[Product Categories].[Product Name].&amp;[353]">
        <tpls c="1">
          <tpl fld="3" item="39"/>
        </tpls>
      </query>
      <query mdx="[Product].[Product Categories].[Product Name].&amp;[354]">
        <tpls c="1">
          <tpl fld="3" item="40"/>
        </tpls>
      </query>
      <query mdx="[Product].[Product Categories].[Product Name].&amp;[355]">
        <tpls c="1">
          <tpl fld="3" item="41"/>
        </tpls>
      </query>
      <query mdx="[Product].[Product Categories].[Product Name].&amp;[356]">
        <tpls c="1">
          <tpl fld="3" item="42"/>
        </tpls>
      </query>
      <query mdx="[Product].[Product Categories].[Product Name].&amp;[357]">
        <tpls c="1">
          <tpl fld="3" item="43"/>
        </tpls>
      </query>
      <query mdx="[Product].[Product Categories].[Product Name].&amp;[358]">
        <tpls c="1">
          <tpl fld="3" item="44"/>
        </tpls>
      </query>
      <query mdx="[Product].[Product Categories].[Product Name].&amp;[359]">
        <tpls c="1">
          <tpl fld="3" item="45"/>
        </tpls>
      </query>
      <query mdx="[Product].[Product Categories].[Product Name].&amp;[360]">
        <tpls c="1">
          <tpl fld="3" item="46"/>
        </tpls>
      </query>
      <query mdx="[Product].[Product Categories].[Product Name].&amp;[361]">
        <tpls c="1">
          <tpl fld="3" item="47"/>
        </tpls>
      </query>
      <query mdx="[Product].[Product Categories].[Product Name].&amp;[362]">
        <tpls c="1">
          <tpl fld="3" item="48"/>
        </tpls>
      </query>
      <query mdx="[Product].[Product Categories].[Product Name].&amp;[363]">
        <tpls c="1">
          <tpl fld="3" item="49"/>
        </tpls>
      </query>
      <query mdx="[Product].[Product Categories].[Product Name].&amp;[364]">
        <tpls c="1">
          <tpl fld="3" item="50"/>
        </tpls>
      </query>
      <query mdx="[Product].[Product Categories].[Product Name].&amp;[365]">
        <tpls c="1">
          <tpl fld="3" item="51"/>
        </tpls>
      </query>
      <query mdx="[Product].[Product Categories].[Product Name].&amp;[366]">
        <tpls c="1">
          <tpl fld="3" item="52"/>
        </tpls>
      </query>
      <query mdx="[Product].[Product Categories].[Product Name].&amp;[367]">
        <tpls c="1">
          <tpl fld="3" item="53"/>
        </tpls>
      </query>
      <query mdx="[Product].[Product Categories].[Product Name].&amp;[587]">
        <tpls c="1">
          <tpl fld="3" item="54"/>
        </tpls>
      </query>
      <query mdx="[Product].[Product Categories].[Product Name].&amp;[588]">
        <tpls c="1">
          <tpl fld="3" item="55"/>
        </tpls>
      </query>
      <query mdx="[Product].[Product Categories].[Product Name].&amp;[589]">
        <tpls c="1">
          <tpl fld="3" item="56"/>
        </tpls>
      </query>
      <query mdx="[Product].[Product Categories].[Product Name].&amp;[590]">
        <tpls c="1">
          <tpl fld="3" item="57"/>
        </tpls>
      </query>
      <query mdx="[Product].[Product Categories].[Product Name].&amp;[591]">
        <tpls c="1">
          <tpl fld="3" item="58"/>
        </tpls>
      </query>
      <query mdx="[Product].[Product Categories].[Product Name].&amp;[592]">
        <tpls c="1">
          <tpl fld="3" item="59"/>
        </tpls>
      </query>
      <query mdx="[Product].[Product Categories].[Product Name].&amp;[593]">
        <tpls c="1">
          <tpl fld="3" item="60"/>
        </tpls>
      </query>
      <query mdx="[Product].[Product Categories].[Product Name].&amp;[594]">
        <tpls c="1">
          <tpl fld="3" item="61"/>
        </tpls>
      </query>
      <query mdx="[Product].[Product Categories].[Product Name].&amp;[595]">
        <tpls c="1">
          <tpl fld="3" item="62"/>
        </tpls>
      </query>
      <query mdx="[Product].[Product Categories].[Product Name].&amp;[596]">
        <tpls c="1">
          <tpl fld="3" item="63"/>
        </tpls>
      </query>
      <query mdx="[Product].[Product Categories].[Product Name].&amp;[597]">
        <tpls c="1">
          <tpl fld="3" item="64"/>
        </tpls>
      </query>
      <query mdx="[Product].[Product Categories].[Product Name].&amp;[598]">
        <tpls c="1">
          <tpl fld="3" item="65"/>
        </tpls>
      </query>
      <query mdx="[Product].[Product Categories].[Product Name].&amp;[599]">
        <tpls c="1">
          <tpl fld="3" item="66"/>
        </tpls>
      </query>
      <query mdx="[Product].[Product Categories].[Product Name].&amp;[600]">
        <tpls c="1">
          <tpl fld="3" item="67"/>
        </tpls>
      </query>
      <query mdx="[Product].[Product Categories].[Subcategory].&amp;[2]">
        <tpls c="1">
          <tpl fld="2" item="11"/>
        </tpls>
      </query>
      <query mdx="[Product].[Product Categories].[Product Name].&amp;[310]">
        <tpls c="1">
          <tpl fld="3" item="68"/>
        </tpls>
      </query>
      <query mdx="[Product].[Product Categories].[Product Name].&amp;[311]">
        <tpls c="1">
          <tpl fld="3" item="69"/>
        </tpls>
      </query>
      <query mdx="[Product].[Product Categories].[Product Name].&amp;[312]">
        <tpls c="1">
          <tpl fld="3" item="70"/>
        </tpls>
      </query>
      <query mdx="[Product].[Product Categories].[Product Name].&amp;[313]">
        <tpls c="1">
          <tpl fld="3" item="71"/>
        </tpls>
      </query>
      <query mdx="[Product].[Product Categories].[Product Name].&amp;[314]">
        <tpls c="1">
          <tpl fld="3" item="72"/>
        </tpls>
      </query>
      <query mdx="[Product].[Product Categories].[Product Name].&amp;[315]">
        <tpls c="1">
          <tpl fld="3" item="73"/>
        </tpls>
      </query>
      <query mdx="[Product].[Product Categories].[Product Name].&amp;[316]">
        <tpls c="1">
          <tpl fld="3" item="74"/>
        </tpls>
      </query>
      <query mdx="[Product].[Product Categories].[Product Name].&amp;[317]">
        <tpls c="1">
          <tpl fld="3" item="75"/>
        </tpls>
      </query>
      <query mdx="[Product].[Product Categories].[Product Name].&amp;[318]">
        <tpls c="1">
          <tpl fld="3" item="76"/>
        </tpls>
      </query>
      <query mdx="[Product].[Product Categories].[Product Name].&amp;[319]">
        <tpls c="1">
          <tpl fld="3" item="77"/>
        </tpls>
      </query>
      <query mdx="[Product].[Product Categories].[Product Name].&amp;[320]">
        <tpls c="1">
          <tpl fld="3" item="78"/>
        </tpls>
      </query>
      <query mdx="[Product].[Product Categories].[Product Name].&amp;[321]">
        <tpls c="1">
          <tpl fld="3" item="79"/>
        </tpls>
      </query>
      <query mdx="[Product].[Product Categories].[Product Name].&amp;[322]">
        <tpls c="1">
          <tpl fld="3" item="80"/>
        </tpls>
      </query>
      <query mdx="[Product].[Product Categories].[Product Name].&amp;[323]">
        <tpls c="1">
          <tpl fld="3" item="81"/>
        </tpls>
      </query>
      <query mdx="[Product].[Product Categories].[Product Name].&amp;[324]">
        <tpls c="1">
          <tpl fld="3" item="82"/>
        </tpls>
      </query>
      <query mdx="[Product].[Product Categories].[Product Name].&amp;[325]">
        <tpls c="1">
          <tpl fld="3" item="83"/>
        </tpls>
      </query>
      <query mdx="[Product].[Product Categories].[Product Name].&amp;[326]">
        <tpls c="1">
          <tpl fld="3" item="84"/>
        </tpls>
      </query>
      <query mdx="[Product].[Product Categories].[Product Name].&amp;[327]">
        <tpls c="1">
          <tpl fld="3" item="85"/>
        </tpls>
      </query>
      <query mdx="[Product].[Product Categories].[Product Name].&amp;[328]">
        <tpls c="1">
          <tpl fld="3" item="86"/>
        </tpls>
      </query>
      <query mdx="[Product].[Product Categories].[Product Name].&amp;[329]">
        <tpls c="1">
          <tpl fld="3" item="87"/>
        </tpls>
      </query>
      <query mdx="[Product].[Product Categories].[Product Name].&amp;[330]">
        <tpls c="1">
          <tpl fld="3" item="88"/>
        </tpls>
      </query>
      <query mdx="[Product].[Product Categories].[Product Name].&amp;[331]">
        <tpls c="1">
          <tpl fld="3" item="89"/>
        </tpls>
      </query>
      <query mdx="[Product].[Product Categories].[Product Name].&amp;[332]">
        <tpls c="1">
          <tpl fld="3" item="90"/>
        </tpls>
      </query>
      <query mdx="[Product].[Product Categories].[Product Name].&amp;[333]">
        <tpls c="1">
          <tpl fld="3" item="91"/>
        </tpls>
      </query>
      <query mdx="[Product].[Product Categories].[Product Name].&amp;[334]">
        <tpls c="1">
          <tpl fld="3" item="92"/>
        </tpls>
      </query>
      <query mdx="[Product].[Product Categories].[Product Name].&amp;[335]">
        <tpls c="1">
          <tpl fld="3" item="93"/>
        </tpls>
      </query>
      <query mdx="[Product].[Product Categories].[Product Name].&amp;[336]">
        <tpls c="1">
          <tpl fld="3" item="94"/>
        </tpls>
      </query>
      <query mdx="[Product].[Product Categories].[Product Name].&amp;[337]">
        <tpls c="1">
          <tpl fld="3" item="95"/>
        </tpls>
      </query>
      <query mdx="[Product].[Product Categories].[Product Name].&amp;[338]">
        <tpls c="1">
          <tpl fld="3" item="96"/>
        </tpls>
      </query>
      <query mdx="[Product].[Product Categories].[Product Name].&amp;[339]">
        <tpls c="1">
          <tpl fld="3" item="97"/>
        </tpls>
      </query>
      <query mdx="[Product].[Product Categories].[Product Name].&amp;[340]">
        <tpls c="1">
          <tpl fld="3" item="98"/>
        </tpls>
      </query>
      <query mdx="[Product].[Product Categories].[Product Name].&amp;[341]">
        <tpls c="1">
          <tpl fld="3" item="99"/>
        </tpls>
      </query>
      <query mdx="[Product].[Product Categories].[Product Name].&amp;[342]">
        <tpls c="1">
          <tpl fld="3" item="100"/>
        </tpls>
      </query>
      <query mdx="[Product].[Product Categories].[Product Name].&amp;[343]">
        <tpls c="1">
          <tpl fld="3" item="101"/>
        </tpls>
      </query>
      <query mdx="[Product].[Product Categories].[Product Name].&amp;[368]">
        <tpls c="1">
          <tpl fld="3" item="102"/>
        </tpls>
      </query>
      <query mdx="[Product].[Product Categories].[Product Name].&amp;[369]">
        <tpls c="1">
          <tpl fld="3" item="103"/>
        </tpls>
      </query>
      <query mdx="[Product].[Product Categories].[Product Name].&amp;[370]">
        <tpls c="1">
          <tpl fld="3" item="104"/>
        </tpls>
      </query>
      <query mdx="[Product].[Product Categories].[Product Name].&amp;[371]">
        <tpls c="1">
          <tpl fld="3" item="105"/>
        </tpls>
      </query>
      <query mdx="[Product].[Product Categories].[Product Name].&amp;[372]">
        <tpls c="1">
          <tpl fld="3" item="106"/>
        </tpls>
      </query>
      <query mdx="[Product].[Product Categories].[Product Name].&amp;[373]">
        <tpls c="1">
          <tpl fld="3" item="107"/>
        </tpls>
      </query>
      <query mdx="[Product].[Product Categories].[Product Name].&amp;[374]">
        <tpls c="1">
          <tpl fld="3" item="108"/>
        </tpls>
      </query>
      <query mdx="[Product].[Product Categories].[Product Name].&amp;[375]">
        <tpls c="1">
          <tpl fld="3" item="109"/>
        </tpls>
      </query>
      <query mdx="[Product].[Product Categories].[Product Name].&amp;[376]">
        <tpls c="1">
          <tpl fld="3" item="110"/>
        </tpls>
      </query>
      <query mdx="[Product].[Product Categories].[Product Name].&amp;[377]">
        <tpls c="1">
          <tpl fld="3" item="111"/>
        </tpls>
      </query>
      <query mdx="[Product].[Product Categories].[Product Name].&amp;[378]">
        <tpls c="1">
          <tpl fld="3" item="112"/>
        </tpls>
      </query>
      <query mdx="[Product].[Product Categories].[Product Name].&amp;[379]">
        <tpls c="1">
          <tpl fld="3" item="113"/>
        </tpls>
      </query>
      <query mdx="[Product].[Product Categories].[Product Name].&amp;[380]">
        <tpls c="1">
          <tpl fld="3" item="114"/>
        </tpls>
      </query>
      <query mdx="[Product].[Product Categories].[Product Name].&amp;[381]">
        <tpls c="1">
          <tpl fld="3" item="115"/>
        </tpls>
      </query>
      <query mdx="[Product].[Product Categories].[Product Name].&amp;[382]">
        <tpls c="1">
          <tpl fld="3" item="116"/>
        </tpls>
      </query>
      <query mdx="[Product].[Product Categories].[Product Name].&amp;[383]">
        <tpls c="1">
          <tpl fld="3" item="117"/>
        </tpls>
      </query>
      <query mdx="[Product].[Product Categories].[Product Name].&amp;[384]">
        <tpls c="1">
          <tpl fld="3" item="118"/>
        </tpls>
      </query>
      <query mdx="[Product].[Product Categories].[Product Name].&amp;[385]">
        <tpls c="1">
          <tpl fld="3" item="119"/>
        </tpls>
      </query>
      <query mdx="[Product].[Product Categories].[Product Name].&amp;[386]">
        <tpls c="1">
          <tpl fld="3" item="120"/>
        </tpls>
      </query>
      <query mdx="[Product].[Product Categories].[Product Name].&amp;[387]">
        <tpls c="1">
          <tpl fld="3" item="121"/>
        </tpls>
      </query>
      <query mdx="[Product].[Product Categories].[Product Name].&amp;[388]">
        <tpls c="1">
          <tpl fld="3" item="122"/>
        </tpls>
      </query>
      <query mdx="[Product].[Product Categories].[Product Name].&amp;[389]">
        <tpls c="1">
          <tpl fld="3" item="123"/>
        </tpls>
      </query>
      <query mdx="[Product].[Product Categories].[Product Name].&amp;[390]">
        <tpls c="1">
          <tpl fld="3" item="124"/>
        </tpls>
      </query>
      <query mdx="[Product].[Product Categories].[Product Name].&amp;[580]">
        <tpls c="1">
          <tpl fld="3" item="125"/>
        </tpls>
      </query>
      <query mdx="[Product].[Product Categories].[Product Name].&amp;[581]">
        <tpls c="1">
          <tpl fld="3" item="126"/>
        </tpls>
      </query>
      <query mdx="[Product].[Product Categories].[Product Name].&amp;[582]">
        <tpls c="1">
          <tpl fld="3" item="127"/>
        </tpls>
      </query>
      <query mdx="[Product].[Product Categories].[Product Name].&amp;[583]">
        <tpls c="1">
          <tpl fld="3" item="128"/>
        </tpls>
      </query>
      <query mdx="[Product].[Product Categories].[Product Name].&amp;[584]">
        <tpls c="1">
          <tpl fld="3" item="129"/>
        </tpls>
      </query>
      <query mdx="[Product].[Product Categories].[Product Name].&amp;[604]">
        <tpls c="1">
          <tpl fld="3" item="130"/>
        </tpls>
      </query>
      <query mdx="[Product].[Product Categories].[Product Name].&amp;[605]">
        <tpls c="1">
          <tpl fld="3" item="131"/>
        </tpls>
      </query>
      <query mdx="[Product].[Product Categories].[Product Name].&amp;[606]">
        <tpls c="1">
          <tpl fld="3" item="132"/>
        </tpls>
      </query>
      <query mdx="[Product].[Product Categories].[Subcategory].&amp;[3]">
        <tpls c="1">
          <tpl fld="2" item="12"/>
        </tpls>
      </query>
      <query mdx="[Product].[Product Categories].[Product Name].&amp;[560]">
        <tpls c="1">
          <tpl fld="3" item="133"/>
        </tpls>
      </query>
      <query mdx="[Product].[Product Categories].[Product Name].&amp;[561]">
        <tpls c="1">
          <tpl fld="3" item="134"/>
        </tpls>
      </query>
      <query mdx="[Product].[Product Categories].[Product Name].&amp;[562]">
        <tpls c="1">
          <tpl fld="3" item="135"/>
        </tpls>
      </query>
      <query mdx="[Product].[Product Categories].[Product Name].&amp;[563]">
        <tpls c="1">
          <tpl fld="3" item="136"/>
        </tpls>
      </query>
      <query mdx="[Product].[Product Categories].[Product Name].&amp;[564]">
        <tpls c="1">
          <tpl fld="3" item="137"/>
        </tpls>
      </query>
      <query mdx="[Product].[Product Categories].[Product Name].&amp;[565]">
        <tpls c="1">
          <tpl fld="3" item="138"/>
        </tpls>
      </query>
      <query mdx="[Product].[Product Categories].[Product Name].&amp;[566]">
        <tpls c="1">
          <tpl fld="3" item="139"/>
        </tpls>
      </query>
      <query mdx="[Product].[Product Categories].[Product Name].&amp;[567]">
        <tpls c="1">
          <tpl fld="3" item="140"/>
        </tpls>
      </query>
      <query mdx="[Product].[Product Categories].[Product Name].&amp;[568]">
        <tpls c="1">
          <tpl fld="3" item="141"/>
        </tpls>
      </query>
      <query mdx="[Product].[Product Categories].[Product Name].&amp;[569]">
        <tpls c="1">
          <tpl fld="3" item="142"/>
        </tpls>
      </query>
      <query mdx="[Product].[Product Categories].[Product Name].&amp;[570]">
        <tpls c="1">
          <tpl fld="3" item="143"/>
        </tpls>
      </query>
      <query mdx="[Product].[Product Categories].[Product Name].&amp;[571]">
        <tpls c="1">
          <tpl fld="3" item="144"/>
        </tpls>
      </query>
      <query mdx="[Product].[Product Categories].[Product Name].&amp;[572]">
        <tpls c="1">
          <tpl fld="3" item="145"/>
        </tpls>
      </query>
      <query mdx="[Product].[Product Categories].[Product Name].&amp;[573]">
        <tpls c="1">
          <tpl fld="3" item="146"/>
        </tpls>
      </query>
      <query mdx="[Product].[Product Categories].[Product Name].&amp;[574]">
        <tpls c="1">
          <tpl fld="3" item="147"/>
        </tpls>
      </query>
      <query mdx="[Product].[Product Categories].[Product Name].&amp;[575]">
        <tpls c="1">
          <tpl fld="3" item="148"/>
        </tpls>
      </query>
      <query mdx="[Product].[Product Categories].[Product Name].&amp;[576]">
        <tpls c="1">
          <tpl fld="3" item="149"/>
        </tpls>
      </query>
      <query mdx="[Product].[Product Categories].[Product Name].&amp;[577]">
        <tpls c="1">
          <tpl fld="3" item="150"/>
        </tpls>
      </query>
      <query mdx="[Product].[Product Categories].[Product Name].&amp;[578]">
        <tpls c="1">
          <tpl fld="3" item="151"/>
        </tpls>
      </query>
      <query mdx="[Product].[Product Categories].[Product Name].&amp;[579]">
        <tpls c="1">
          <tpl fld="3" item="152"/>
        </tpls>
      </query>
      <query mdx="[Product].[Product Categories].[Product Name].&amp;[585]">
        <tpls c="1">
          <tpl fld="3" item="153"/>
        </tpls>
      </query>
      <query mdx="[Product].[Product Categories].[Product Name].&amp;[586]">
        <tpls c="1">
          <tpl fld="3" item="154"/>
        </tpls>
      </query>
      <query mdx="[Product].[Product Categories].[Category].&amp;[3]">
        <tpls c="1">
          <tpl fld="1" item="2"/>
        </tpls>
      </query>
      <query mdx="[Product].[Product Categories].[Subcategory].&amp;[18]">
        <tpls c="1">
          <tpl fld="2" item="13"/>
        </tpls>
      </query>
      <query mdx="[Product].[Product Categories].[Product Name].&amp;[459]">
        <tpls c="1">
          <tpl fld="3" item="155"/>
        </tpls>
      </query>
      <query mdx="[Product].[Product Categories].[Product Name].&amp;[460]">
        <tpls c="1">
          <tpl fld="3" item="156"/>
        </tpls>
      </query>
      <query mdx="[Product].[Product Categories].[Product Name].&amp;[461]">
        <tpls c="1">
          <tpl fld="3" item="157"/>
        </tpls>
      </query>
      <query mdx="[Product].[Product Categories].[Subcategory].&amp;[19]">
        <tpls c="1">
          <tpl fld="2" item="14"/>
        </tpls>
      </query>
      <query mdx="[Product].[Product Categories].[Product Name].&amp;[223]">
        <tpls c="1">
          <tpl fld="3" item="158"/>
        </tpls>
      </query>
      <query mdx="[Product].[Product Categories].[Product Name].&amp;[224]">
        <tpls c="1">
          <tpl fld="3" item="159"/>
        </tpls>
      </query>
      <query mdx="[Product].[Product Categories].[Product Name].&amp;[225]">
        <tpls c="1">
          <tpl fld="3" item="160"/>
        </tpls>
      </query>
      <query mdx="[Product].[Product Categories].[Subcategory].&amp;[20]">
        <tpls c="1">
          <tpl fld="2" item="15"/>
        </tpls>
      </query>
      <query mdx="[Product].[Product Categories].[Product Name].&amp;[462]">
        <tpls c="1">
          <tpl fld="3" item="161"/>
        </tpls>
      </query>
      <query mdx="[Product].[Product Categories].[Product Name].&amp;[463]">
        <tpls c="1">
          <tpl fld="3" item="162"/>
        </tpls>
      </query>
      <query mdx="[Product].[Product Categories].[Product Name].&amp;[464]">
        <tpls c="1">
          <tpl fld="3" item="163"/>
        </tpls>
      </query>
      <query mdx="[Product].[Product Categories].[Product Name].&amp;[465]">
        <tpls c="1">
          <tpl fld="3" item="164"/>
        </tpls>
      </query>
      <query mdx="[Product].[Product Categories].[Product Name].&amp;[466]">
        <tpls c="1">
          <tpl fld="3" item="165"/>
        </tpls>
      </query>
      <query mdx="[Product].[Product Categories].[Product Name].&amp;[467]">
        <tpls c="1">
          <tpl fld="3" item="166"/>
        </tpls>
      </query>
      <query mdx="[Product].[Product Categories].[Product Name].&amp;[468]">
        <tpls c="1">
          <tpl fld="3" item="167"/>
        </tpls>
      </query>
      <query mdx="[Product].[Product Categories].[Product Name].&amp;[469]">
        <tpls c="1">
          <tpl fld="3" item="168"/>
        </tpls>
      </query>
      <query mdx="[Product].[Product Categories].[Product Name].&amp;[470]">
        <tpls c="1">
          <tpl fld="3" item="169"/>
        </tpls>
      </query>
      <query mdx="[Product].[Product Categories].[Subcategory].&amp;[21]">
        <tpls c="1">
          <tpl fld="2" item="16"/>
        </tpls>
      </query>
      <query mdx="[Product].[Product Categories].[Product Name].&amp;[228]">
        <tpls c="1">
          <tpl fld="3" item="170"/>
        </tpls>
      </query>
      <query mdx="[Product].[Product Categories].[Product Name].&amp;[229]">
        <tpls c="1">
          <tpl fld="3" item="171"/>
        </tpls>
      </query>
      <query mdx="[Product].[Product Categories].[Product Name].&amp;[230]">
        <tpls c="1">
          <tpl fld="3" item="172"/>
        </tpls>
      </query>
      <query mdx="[Product].[Product Categories].[Product Name].&amp;[231]">
        <tpls c="1">
          <tpl fld="3" item="173"/>
        </tpls>
      </query>
      <query mdx="[Product].[Product Categories].[Product Name].&amp;[232]">
        <tpls c="1">
          <tpl fld="3" item="174"/>
        </tpls>
      </query>
      <query mdx="[Product].[Product Categories].[Product Name].&amp;[233]">
        <tpls c="1">
          <tpl fld="3" item="175"/>
        </tpls>
      </query>
      <query mdx="[Product].[Product Categories].[Product Name].&amp;[234]">
        <tpls c="1">
          <tpl fld="3" item="176"/>
        </tpls>
      </query>
      <query mdx="[Product].[Product Categories].[Product Name].&amp;[235]">
        <tpls c="1">
          <tpl fld="3" item="177"/>
        </tpls>
      </query>
      <query mdx="[Product].[Product Categories].[Product Name].&amp;[236]">
        <tpls c="1">
          <tpl fld="3" item="178"/>
        </tpls>
      </query>
      <query mdx="[Product].[Product Categories].[Product Name].&amp;[237]">
        <tpls c="1">
          <tpl fld="3" item="179"/>
        </tpls>
      </query>
      <query mdx="[Product].[Product Categories].[Product Name].&amp;[488]">
        <tpls c="1">
          <tpl fld="3" item="180"/>
        </tpls>
      </query>
      <query mdx="[Product].[Product Categories].[Product Name].&amp;[489]">
        <tpls c="1">
          <tpl fld="3" item="181"/>
        </tpls>
      </query>
      <query mdx="[Product].[Product Categories].[Product Name].&amp;[490]">
        <tpls c="1">
          <tpl fld="3" item="182"/>
        </tpls>
      </query>
      <query mdx="[Product].[Product Categories].[Product Name].&amp;[491]">
        <tpls c="1">
          <tpl fld="3" item="183"/>
        </tpls>
      </query>
      <query mdx="[Product].[Product Categories].[Subcategory].&amp;[22]">
        <tpls c="1">
          <tpl fld="2" item="17"/>
        </tpls>
      </query>
      <query mdx="[Product].[Product Categories].[Product Name].&amp;[445]">
        <tpls c="1">
          <tpl fld="3" item="184"/>
        </tpls>
      </query>
      <query mdx="[Product].[Product Categories].[Product Name].&amp;[453]">
        <tpls c="1">
          <tpl fld="3" item="185"/>
        </tpls>
      </query>
      <query mdx="[Product].[Product Categories].[Product Name].&amp;[454]">
        <tpls c="1">
          <tpl fld="3" item="186"/>
        </tpls>
      </query>
      <query mdx="[Product].[Product Categories].[Product Name].&amp;[474]">
        <tpls c="1">
          <tpl fld="3" item="187"/>
        </tpls>
      </query>
      <query mdx="[Product].[Product Categories].[Product Name].&amp;[475]">
        <tpls c="1">
          <tpl fld="3" item="188"/>
        </tpls>
      </query>
      <query mdx="[Product].[Product Categories].[Product Name].&amp;[476]">
        <tpls c="1">
          <tpl fld="3" item="189"/>
        </tpls>
      </query>
      <query mdx="[Product].[Product Categories].[Subcategory].&amp;[23]">
        <tpls c="1">
          <tpl fld="2" item="18"/>
        </tpls>
      </query>
      <query mdx="[Product].[Product Categories].[Product Name].&amp;[218]">
        <tpls c="1">
          <tpl fld="3" item="190"/>
        </tpls>
      </query>
      <query mdx="[Product].[Product Categories].[Product Name].&amp;[219]">
        <tpls c="1">
          <tpl fld="3" item="191"/>
        </tpls>
      </query>
      <query mdx="[Product].[Product Categories].[Product Name].&amp;[481]">
        <tpls c="1">
          <tpl fld="3" item="192"/>
        </tpls>
      </query>
      <query mdx="[Product].[Product Categories].[Product Name].&amp;[482]">
        <tpls c="1">
          <tpl fld="3" item="193"/>
        </tpls>
      </query>
      <query mdx="[Product].[Product Categories].[Subcategory].&amp;[24]">
        <tpls c="1">
          <tpl fld="2" item="19"/>
        </tpls>
      </query>
      <query mdx="[Product].[Product Categories].[Product Name].&amp;[456]">
        <tpls c="1">
          <tpl fld="3" item="194"/>
        </tpls>
      </query>
      <query mdx="[Product].[Product Categories].[Product Name].&amp;[457]">
        <tpls c="1">
          <tpl fld="3" item="195"/>
        </tpls>
      </query>
      <query mdx="[Product].[Product Categories].[Product Name].&amp;[458]">
        <tpls c="1">
          <tpl fld="3" item="196"/>
        </tpls>
      </query>
      <query mdx="[Product].[Product Categories].[Subcategory].&amp;[25]">
        <tpls c="1">
          <tpl fld="2" item="20"/>
        </tpls>
      </query>
      <query mdx="[Product].[Product Categories].[Product Name].&amp;[471]">
        <tpls c="1">
          <tpl fld="3" item="197"/>
        </tpls>
      </query>
      <query mdx="[Product].[Product Categories].[Product Name].&amp;[472]">
        <tpls c="1">
          <tpl fld="3" item="198"/>
        </tpls>
      </query>
      <query mdx="[Product].[Product Categories].[Product Name].&amp;[473]">
        <tpls c="1">
          <tpl fld="3" item="199"/>
        </tpls>
      </query>
      <query mdx="[Product].[Product Categories].[Category].&amp;[2]">
        <tpls c="1">
          <tpl fld="1" item="3"/>
        </tpls>
      </query>
      <query mdx="[Product].[Product Categories].[Subcategory].&amp;[5]">
        <tpls c="1">
          <tpl fld="2" item="21"/>
        </tpls>
      </query>
      <query mdx="[Product].[Product Categories].[Product Name].&amp;[601]">
        <tpls c="1">
          <tpl fld="3" item="200"/>
        </tpls>
      </query>
      <query mdx="[Product].[Product Categories].[Product Name].&amp;[603]">
        <tpls c="1">
          <tpl fld="3" item="201"/>
        </tpls>
      </query>
      <query mdx="[Product].[Product Categories].[Subcategory].&amp;[6]">
        <tpls c="1">
          <tpl fld="2" item="22"/>
        </tpls>
      </query>
      <query mdx="[Product].[Product Categories].[Product Name].&amp;[514]">
        <tpls c="1">
          <tpl fld="3" item="202"/>
        </tpls>
      </query>
      <query mdx="[Product].[Product Categories].[Product Name].&amp;[555]">
        <tpls c="1">
          <tpl fld="3" item="203"/>
        </tpls>
      </query>
      <query mdx="[Product].[Product Categories].[Subcategory].&amp;[7]">
        <tpls c="1">
          <tpl fld="2" item="23"/>
        </tpls>
      </query>
      <query mdx="[Product].[Product Categories].[Product Name].&amp;[559]">
        <tpls c="1">
          <tpl fld="3" item="204"/>
        </tpls>
      </query>
      <query mdx="[Product].[Product Categories].[Subcategory].&amp;[8]">
        <tpls c="1">
          <tpl fld="2" item="24"/>
        </tpls>
      </query>
      <query mdx="[Product].[Product Categories].[Product Name].&amp;[556]">
        <tpls c="1">
          <tpl fld="3" item="205"/>
        </tpls>
      </query>
      <query mdx="[Product].[Product Categories].[Product Name].&amp;[557]">
        <tpls c="1">
          <tpl fld="3" item="206"/>
        </tpls>
      </query>
      <query mdx="[Product].[Product Categories].[Product Name].&amp;[558]">
        <tpls c="1">
          <tpl fld="3" item="207"/>
        </tpls>
      </query>
      <query mdx="[Product].[Product Categories].[Subcategory].&amp;[9]">
        <tpls c="1">
          <tpl fld="2" item="25"/>
        </tpls>
      </query>
      <query mdx="[Product].[Product Categories].[Product Name].&amp;[501]">
        <tpls c="1">
          <tpl fld="3" item="208"/>
        </tpls>
      </query>
      <query mdx="[Product].[Product Categories].[Product Name].&amp;[552]">
        <tpls c="1">
          <tpl fld="3" item="209"/>
        </tpls>
      </query>
      <query mdx="[Product].[Product Categories].[Subcategory].&amp;[10]">
        <tpls c="1">
          <tpl fld="2" item="26"/>
        </tpls>
      </query>
      <query mdx="[Product].[Product Categories].[Product Name].&amp;[391]">
        <tpls c="1">
          <tpl fld="3" item="210"/>
        </tpls>
      </query>
      <query mdx="[Product].[Product Categories].[Product Name].&amp;[393]">
        <tpls c="1">
          <tpl fld="3" item="211"/>
        </tpls>
      </query>
      <query mdx="[Product].[Product Categories].[Subcategory].&amp;[4]">
        <tpls c="1">
          <tpl fld="2" item="27"/>
        </tpls>
      </query>
      <query mdx="[Product].[Product Categories].[Product Name].&amp;[397]">
        <tpls c="1">
          <tpl fld="3" item="212"/>
        </tpls>
      </query>
      <query mdx="[Product].[Product Categories].[Product Name].&amp;[398]">
        <tpls c="1">
          <tpl fld="3" item="213"/>
        </tpls>
      </query>
      <query mdx="[Product].[Product Categories].[Product Name].&amp;[399]">
        <tpls c="1">
          <tpl fld="3" item="214"/>
        </tpls>
      </query>
      <query mdx="[Product].[Product Categories].[Product Name].&amp;[400]">
        <tpls c="1">
          <tpl fld="3" item="215"/>
        </tpls>
      </query>
      <query mdx="[Product].[Product Categories].[Product Name].&amp;[401]">
        <tpls c="1">
          <tpl fld="3" item="216"/>
        </tpls>
      </query>
      <query mdx="[Product].[Product Categories].[Product Name].&amp;[402]">
        <tpls c="1">
          <tpl fld="3" item="217"/>
        </tpls>
      </query>
      <query mdx="[Product].[Product Categories].[Product Name].&amp;[403]">
        <tpls c="1">
          <tpl fld="3" item="218"/>
        </tpls>
      </query>
      <query mdx="[Product].[Product Categories].[Product Name].&amp;[404]">
        <tpls c="1">
          <tpl fld="3" item="219"/>
        </tpls>
      </query>
      <query mdx="[Product].[Product Categories].[Product Name].&amp;[407]">
        <tpls c="1">
          <tpl fld="3" item="220"/>
        </tpls>
      </query>
      <query mdx="[Product].[Product Categories].[Product Name].&amp;[408]">
        <tpls c="1">
          <tpl fld="3" item="221"/>
        </tpls>
      </query>
      <query mdx="[Product].[Product Categories].[Product Name].&amp;[553]">
        <tpls c="1">
          <tpl fld="3" item="222"/>
        </tpls>
      </query>
      <query mdx="[Product].[Product Categories].[Product Name].&amp;[554]">
        <tpls c="1">
          <tpl fld="3" item="223"/>
        </tpls>
      </query>
      <query mdx="[Product].[Product Categories].[Subcategory].&amp;[11]">
        <tpls c="1">
          <tpl fld="2" item="28"/>
        </tpls>
      </query>
      <query mdx="[Product].[Product Categories].[Product Name].&amp;[394]">
        <tpls c="1">
          <tpl fld="3" item="224"/>
        </tpls>
      </query>
      <query mdx="[Product].[Product Categories].[Product Name].&amp;[395]">
        <tpls c="1">
          <tpl fld="3" item="225"/>
        </tpls>
      </query>
      <query mdx="[Product].[Product Categories].[Product Name].&amp;[396]">
        <tpls c="1">
          <tpl fld="3" item="226"/>
        </tpls>
      </query>
      <query mdx="[Product].[Product Categories].[Subcategory].&amp;[12]">
        <tpls c="1">
          <tpl fld="2" item="29"/>
        </tpls>
      </query>
      <query mdx="[Product].[Product Categories].[Product Name].&amp;[288]">
        <tpls c="1">
          <tpl fld="3" item="227"/>
        </tpls>
      </query>
      <query mdx="[Product].[Product Categories].[Product Name].&amp;[289]">
        <tpls c="1">
          <tpl fld="3" item="228"/>
        </tpls>
      </query>
      <query mdx="[Product].[Product Categories].[Product Name].&amp;[290]">
        <tpls c="1">
          <tpl fld="3" item="229"/>
        </tpls>
      </query>
      <query mdx="[Product].[Product Categories].[Product Name].&amp;[292]">
        <tpls c="1">
          <tpl fld="3" item="230"/>
        </tpls>
      </query>
      <query mdx="[Product].[Product Categories].[Product Name].&amp;[293]">
        <tpls c="1">
          <tpl fld="3" item="231"/>
        </tpls>
      </query>
      <query mdx="[Product].[Product Categories].[Product Name].&amp;[294]">
        <tpls c="1">
          <tpl fld="3" item="232"/>
        </tpls>
      </query>
      <query mdx="[Product].[Product Categories].[Product Name].&amp;[295]">
        <tpls c="1">
          <tpl fld="3" item="233"/>
        </tpls>
      </query>
      <query mdx="[Product].[Product Categories].[Product Name].&amp;[296]">
        <tpls c="1">
          <tpl fld="3" item="234"/>
        </tpls>
      </query>
      <query mdx="[Product].[Product Categories].[Product Name].&amp;[297]">
        <tpls c="1">
          <tpl fld="3" item="235"/>
        </tpls>
      </query>
      <query mdx="[Product].[Product Categories].[Product Name].&amp;[298]">
        <tpls c="1">
          <tpl fld="3" item="236"/>
        </tpls>
      </query>
      <query mdx="[Product].[Product Categories].[Product Name].&amp;[299]">
        <tpls c="1">
          <tpl fld="3" item="237"/>
        </tpls>
      </query>
      <query mdx="[Product].[Product Categories].[Product Name].&amp;[300]">
        <tpls c="1">
          <tpl fld="3" item="238"/>
        </tpls>
      </query>
      <query mdx="[Product].[Product Categories].[Product Name].&amp;[304]">
        <tpls c="1">
          <tpl fld="3" item="239"/>
        </tpls>
      </query>
      <query mdx="[Product].[Product Categories].[Product Name].&amp;[305]">
        <tpls c="1">
          <tpl fld="3" item="240"/>
        </tpls>
      </query>
      <query mdx="[Product].[Product Categories].[Product Name].&amp;[306]">
        <tpls c="1">
          <tpl fld="3" item="241"/>
        </tpls>
      </query>
      <query mdx="[Product].[Product Categories].[Product Name].&amp;[307]">
        <tpls c="1">
          <tpl fld="3" item="242"/>
        </tpls>
      </query>
      <query mdx="[Product].[Product Categories].[Product Name].&amp;[308]">
        <tpls c="1">
          <tpl fld="3" item="243"/>
        </tpls>
      </query>
      <query mdx="[Product].[Product Categories].[Product Name].&amp;[309]">
        <tpls c="1">
          <tpl fld="3" item="244"/>
        </tpls>
      </query>
      <query mdx="[Product].[Product Categories].[Product Name].&amp;[409]">
        <tpls c="1">
          <tpl fld="3" item="245"/>
        </tpls>
      </query>
      <query mdx="[Product].[Product Categories].[Product Name].&amp;[426]">
        <tpls c="1">
          <tpl fld="3" item="246"/>
        </tpls>
      </query>
      <query mdx="[Product].[Product Categories].[Product Name].&amp;[427]">
        <tpls c="1">
          <tpl fld="3" item="247"/>
        </tpls>
      </query>
      <query mdx="[Product].[Product Categories].[Product Name].&amp;[428]">
        <tpls c="1">
          <tpl fld="3" item="248"/>
        </tpls>
      </query>
      <query mdx="[Product].[Product Categories].[Product Name].&amp;[511]">
        <tpls c="1">
          <tpl fld="3" item="249"/>
        </tpls>
      </query>
      <query mdx="[Product].[Product Categories].[Product Name].&amp;[512]">
        <tpls c="1">
          <tpl fld="3" item="250"/>
        </tpls>
      </query>
      <query mdx="[Product].[Product Categories].[Product Name].&amp;[513]">
        <tpls c="1">
          <tpl fld="3" item="251"/>
        </tpls>
      </query>
      <query mdx="[Product].[Product Categories].[Product Name].&amp;[524]">
        <tpls c="1">
          <tpl fld="3" item="252"/>
        </tpls>
      </query>
      <query mdx="[Product].[Product Categories].[Product Name].&amp;[525]">
        <tpls c="1">
          <tpl fld="3" item="253"/>
        </tpls>
      </query>
      <query mdx="[Product].[Product Categories].[Product Name].&amp;[526]">
        <tpls c="1">
          <tpl fld="3" item="254"/>
        </tpls>
      </query>
      <query mdx="[Product].[Product Categories].[Product Name].&amp;[527]">
        <tpls c="1">
          <tpl fld="3" item="255"/>
        </tpls>
      </query>
      <query mdx="[Product].[Product Categories].[Product Name].&amp;[531]">
        <tpls c="1">
          <tpl fld="3" item="256"/>
        </tpls>
      </query>
      <query mdx="[Product].[Product Categories].[Product Name].&amp;[532]">
        <tpls c="1">
          <tpl fld="3" item="257"/>
        </tpls>
      </query>
      <query mdx="[Product].[Product Categories].[Product Name].&amp;[533]">
        <tpls c="1">
          <tpl fld="3" item="258"/>
        </tpls>
      </query>
      <query mdx="[Product].[Product Categories].[Product Name].&amp;[534]">
        <tpls c="1">
          <tpl fld="3" item="259"/>
        </tpls>
      </query>
      <query mdx="[Product].[Product Categories].[Product Name].&amp;[549]">
        <tpls c="1">
          <tpl fld="3" item="260"/>
        </tpls>
      </query>
      <query mdx="[Product].[Product Categories].[Product Name].&amp;[550]">
        <tpls c="1">
          <tpl fld="3" item="261"/>
        </tpls>
      </query>
      <query mdx="[Product].[Product Categories].[Product Name].&amp;[551]">
        <tpls c="1">
          <tpl fld="3" item="262"/>
        </tpls>
      </query>
      <query mdx="[Product].[Product Categories].[Subcategory].&amp;[13]">
        <tpls c="1">
          <tpl fld="2" item="30"/>
        </tpls>
      </query>
      <query mdx="[Product].[Product Categories].[Product Name].&amp;[542]">
        <tpls c="1">
          <tpl fld="3" item="263"/>
        </tpls>
      </query>
      <query mdx="[Product].[Product Categories].[Product Name].&amp;[543]">
        <tpls c="1">
          <tpl fld="3" item="264"/>
        </tpls>
      </query>
      <query mdx="[Product].[Product Categories].[Product Name].&amp;[544]">
        <tpls c="1">
          <tpl fld="3" item="265"/>
        </tpls>
      </query>
      <query mdx="[Product].[Product Categories].[Product Name].&amp;[545]">
        <tpls c="1">
          <tpl fld="3" item="266"/>
        </tpls>
      </query>
      <query mdx="[Product].[Product Categories].[Product Name].&amp;[546]">
        <tpls c="1">
          <tpl fld="3" item="267"/>
        </tpls>
      </query>
      <query mdx="[Product].[Product Categories].[Product Name].&amp;[547]">
        <tpls c="1">
          <tpl fld="3" item="268"/>
        </tpls>
      </query>
      <query mdx="[Product].[Product Categories].[Product Name].&amp;[548]">
        <tpls c="1">
          <tpl fld="3" item="269"/>
        </tpls>
      </query>
      <query mdx="[Product].[Product Categories].[Subcategory].&amp;[14]">
        <tpls c="1">
          <tpl fld="2" item="31"/>
        </tpls>
      </query>
      <query mdx="[Product].[Product Categories].[Product Name].&amp;[238]">
        <tpls c="1">
          <tpl fld="3" item="270"/>
        </tpls>
      </query>
      <query mdx="[Product].[Product Categories].[Product Name].&amp;[239]">
        <tpls c="1">
          <tpl fld="3" item="271"/>
        </tpls>
      </query>
      <query mdx="[Product].[Product Categories].[Product Name].&amp;[240]">
        <tpls c="1">
          <tpl fld="3" item="272"/>
        </tpls>
      </query>
      <query mdx="[Product].[Product Categories].[Product Name].&amp;[241]">
        <tpls c="1">
          <tpl fld="3" item="273"/>
        </tpls>
      </query>
      <query mdx="[Product].[Product Categories].[Product Name].&amp;[242]">
        <tpls c="1">
          <tpl fld="3" item="274"/>
        </tpls>
      </query>
      <query mdx="[Product].[Product Categories].[Product Name].&amp;[243]">
        <tpls c="1">
          <tpl fld="3" item="275"/>
        </tpls>
      </query>
      <query mdx="[Product].[Product Categories].[Product Name].&amp;[245]">
        <tpls c="1">
          <tpl fld="3" item="276"/>
        </tpls>
      </query>
      <query mdx="[Product].[Product Categories].[Product Name].&amp;[246]">
        <tpls c="1">
          <tpl fld="3" item="277"/>
        </tpls>
      </query>
      <query mdx="[Product].[Product Categories].[Product Name].&amp;[253]">
        <tpls c="1">
          <tpl fld="3" item="278"/>
        </tpls>
      </query>
      <query mdx="[Product].[Product Categories].[Product Name].&amp;[254]">
        <tpls c="1">
          <tpl fld="3" item="279"/>
        </tpls>
      </query>
      <query mdx="[Product].[Product Categories].[Product Name].&amp;[255]">
        <tpls c="1">
          <tpl fld="3" item="280"/>
        </tpls>
      </query>
      <query mdx="[Product].[Product Categories].[Product Name].&amp;[256]">
        <tpls c="1">
          <tpl fld="3" item="281"/>
        </tpls>
      </query>
      <query mdx="[Product].[Product Categories].[Product Name].&amp;[257]">
        <tpls c="1">
          <tpl fld="3" item="282"/>
        </tpls>
      </query>
      <query mdx="[Product].[Product Categories].[Product Name].&amp;[258]">
        <tpls c="1">
          <tpl fld="3" item="283"/>
        </tpls>
      </query>
      <query mdx="[Product].[Product Categories].[Product Name].&amp;[262]">
        <tpls c="1">
          <tpl fld="3" item="284"/>
        </tpls>
      </query>
      <query mdx="[Product].[Product Categories].[Product Name].&amp;[263]">
        <tpls c="1">
          <tpl fld="3" item="285"/>
        </tpls>
      </query>
      <query mdx="[Product].[Product Categories].[Product Name].&amp;[264]">
        <tpls c="1">
          <tpl fld="3" item="286"/>
        </tpls>
      </query>
      <query mdx="[Product].[Product Categories].[Product Name].&amp;[265]">
        <tpls c="1">
          <tpl fld="3" item="287"/>
        </tpls>
      </query>
      <query mdx="[Product].[Product Categories].[Product Name].&amp;[266]">
        <tpls c="1">
          <tpl fld="3" item="288"/>
        </tpls>
      </query>
      <query mdx="[Product].[Product Categories].[Product Name].&amp;[267]">
        <tpls c="1">
          <tpl fld="3" item="289"/>
        </tpls>
      </query>
      <query mdx="[Product].[Product Categories].[Product Name].&amp;[270]">
        <tpls c="1">
          <tpl fld="3" item="290"/>
        </tpls>
      </query>
      <query mdx="[Product].[Product Categories].[Product Name].&amp;[271]">
        <tpls c="1">
          <tpl fld="3" item="291"/>
        </tpls>
      </query>
      <query mdx="[Product].[Product Categories].[Product Name].&amp;[272]">
        <tpls c="1">
          <tpl fld="3" item="292"/>
        </tpls>
      </query>
      <query mdx="[Product].[Product Categories].[Product Name].&amp;[273]">
        <tpls c="1">
          <tpl fld="3" item="293"/>
        </tpls>
      </query>
      <query mdx="[Product].[Product Categories].[Product Name].&amp;[275]">
        <tpls c="1">
          <tpl fld="3" item="294"/>
        </tpls>
      </query>
      <query mdx="[Product].[Product Categories].[Product Name].&amp;[276]">
        <tpls c="1">
          <tpl fld="3" item="295"/>
        </tpls>
      </query>
      <query mdx="[Product].[Product Categories].[Product Name].&amp;[279]">
        <tpls c="1">
          <tpl fld="3" item="296"/>
        </tpls>
      </query>
      <query mdx="[Product].[Product Categories].[Product Name].&amp;[280]">
        <tpls c="1">
          <tpl fld="3" item="297"/>
        </tpls>
      </query>
      <query mdx="[Product].[Product Categories].[Product Name].&amp;[281]">
        <tpls c="1">
          <tpl fld="3" item="298"/>
        </tpls>
      </query>
      <query mdx="[Product].[Product Categories].[Product Name].&amp;[285]">
        <tpls c="1">
          <tpl fld="3" item="299"/>
        </tpls>
      </query>
      <query mdx="[Product].[Product Categories].[Product Name].&amp;[286]">
        <tpls c="1">
          <tpl fld="3" item="300"/>
        </tpls>
      </query>
      <query mdx="[Product].[Product Categories].[Product Name].&amp;[287]">
        <tpls c="1">
          <tpl fld="3" item="301"/>
        </tpls>
      </query>
      <query mdx="[Product].[Product Categories].[Product Name].&amp;[417]">
        <tpls c="1">
          <tpl fld="3" item="302"/>
        </tpls>
      </query>
      <query mdx="[Product].[Product Categories].[Product Name].&amp;[418]">
        <tpls c="1">
          <tpl fld="3" item="303"/>
        </tpls>
      </query>
      <query mdx="[Product].[Product Categories].[Product Name].&amp;[429]">
        <tpls c="1">
          <tpl fld="3" item="304"/>
        </tpls>
      </query>
      <query mdx="[Product].[Product Categories].[Product Name].&amp;[430]">
        <tpls c="1">
          <tpl fld="3" item="305"/>
        </tpls>
      </query>
      <query mdx="[Product].[Product Categories].[Product Name].&amp;[433]">
        <tpls c="1">
          <tpl fld="3" item="306"/>
        </tpls>
      </query>
      <query mdx="[Product].[Product Categories].[Product Name].&amp;[434]">
        <tpls c="1">
          <tpl fld="3" item="307"/>
        </tpls>
      </query>
      <query mdx="[Product].[Product Categories].[Product Name].&amp;[435]">
        <tpls c="1">
          <tpl fld="3" item="308"/>
        </tpls>
      </query>
      <query mdx="[Product].[Product Categories].[Product Name].&amp;[436]">
        <tpls c="1">
          <tpl fld="3" item="309"/>
        </tpls>
      </query>
      <query mdx="[Product].[Product Categories].[Product Name].&amp;[439]">
        <tpls c="1">
          <tpl fld="3" item="310"/>
        </tpls>
      </query>
      <query mdx="[Product].[Product Categories].[Product Name].&amp;[440]">
        <tpls c="1">
          <tpl fld="3" item="311"/>
        </tpls>
      </query>
      <query mdx="[Product].[Product Categories].[Product Name].&amp;[441]">
        <tpls c="1">
          <tpl fld="3" item="312"/>
        </tpls>
      </query>
      <query mdx="[Product].[Product Categories].[Product Name].&amp;[442]">
        <tpls c="1">
          <tpl fld="3" item="313"/>
        </tpls>
      </query>
      <query mdx="[Product].[Product Categories].[Subcategory].&amp;[15]">
        <tpls c="1">
          <tpl fld="2" item="32"/>
        </tpls>
      </query>
      <query mdx="[Product].[Product Categories].[Product Name].&amp;[515]">
        <tpls c="1">
          <tpl fld="3" item="314"/>
        </tpls>
      </query>
      <query mdx="[Product].[Product Categories].[Product Name].&amp;[516]">
        <tpls c="1">
          <tpl fld="3" item="315"/>
        </tpls>
      </query>
      <query mdx="[Product].[Product Categories].[Product Name].&amp;[517]">
        <tpls c="1">
          <tpl fld="3" item="316"/>
        </tpls>
      </query>
      <query mdx="[Product].[Product Categories].[Product Name].&amp;[518]">
        <tpls c="1">
          <tpl fld="3" item="317"/>
        </tpls>
      </query>
      <query mdx="[Product].[Product Categories].[Product Name].&amp;[520]">
        <tpls c="1">
          <tpl fld="3" item="318"/>
        </tpls>
      </query>
      <query mdx="[Product].[Product Categories].[Product Name].&amp;[521]">
        <tpls c="1">
          <tpl fld="3" item="319"/>
        </tpls>
      </query>
      <query mdx="[Product].[Product Categories].[Product Name].&amp;[522]">
        <tpls c="1">
          <tpl fld="3" item="320"/>
        </tpls>
      </query>
      <query mdx="[Product].[Product Categories].[Product Name].&amp;[523]">
        <tpls c="1">
          <tpl fld="3" item="321"/>
        </tpls>
      </query>
      <query mdx="[Product].[Product Categories].[Subcategory].&amp;[16]">
        <tpls c="1">
          <tpl fld="2" item="33"/>
        </tpls>
      </query>
      <query mdx="[Product].[Product Categories].[Product Name].&amp;[492]">
        <tpls c="1">
          <tpl fld="3" item="322"/>
        </tpls>
      </query>
      <query mdx="[Product].[Product Categories].[Product Name].&amp;[493]">
        <tpls c="1">
          <tpl fld="3" item="323"/>
        </tpls>
      </query>
      <query mdx="[Product].[Product Categories].[Product Name].&amp;[494]">
        <tpls c="1">
          <tpl fld="3" item="324"/>
        </tpls>
      </query>
      <query mdx="[Product].[Product Categories].[Product Name].&amp;[495]">
        <tpls c="1">
          <tpl fld="3" item="325"/>
        </tpls>
      </query>
      <query mdx="[Product].[Product Categories].[Product Name].&amp;[496]">
        <tpls c="1">
          <tpl fld="3" item="326"/>
        </tpls>
      </query>
      <query mdx="[Product].[Product Categories].[Product Name].&amp;[497]">
        <tpls c="1">
          <tpl fld="3" item="327"/>
        </tpls>
      </query>
      <query mdx="[Product].[Product Categories].[Product Name].&amp;[498]">
        <tpls c="1">
          <tpl fld="3" item="328"/>
        </tpls>
      </query>
      <query mdx="[Product].[Product Categories].[Product Name].&amp;[499]">
        <tpls c="1">
          <tpl fld="3" item="329"/>
        </tpls>
      </query>
      <query mdx="[Product].[Product Categories].[Product Name].&amp;[500]">
        <tpls c="1">
          <tpl fld="3" item="330"/>
        </tpls>
      </query>
      <query mdx="[Product].[Product Categories].[Product Name].&amp;[502]">
        <tpls c="1">
          <tpl fld="3" item="331"/>
        </tpls>
      </query>
      <query mdx="[Product].[Product Categories].[Product Name].&amp;[503]">
        <tpls c="1">
          <tpl fld="3" item="332"/>
        </tpls>
      </query>
      <query mdx="[Product].[Product Categories].[Product Name].&amp;[504]">
        <tpls c="1">
          <tpl fld="3" item="333"/>
        </tpls>
      </query>
      <query mdx="[Product].[Product Categories].[Product Name].&amp;[505]">
        <tpls c="1">
          <tpl fld="3" item="334"/>
        </tpls>
      </query>
      <query mdx="[Product].[Product Categories].[Product Name].&amp;[506]">
        <tpls c="1">
          <tpl fld="3" item="335"/>
        </tpls>
      </query>
      <query mdx="[Product].[Product Categories].[Product Name].&amp;[507]">
        <tpls c="1">
          <tpl fld="3" item="336"/>
        </tpls>
      </query>
      <query mdx="[Product].[Product Categories].[Product Name].&amp;[509]">
        <tpls c="1">
          <tpl fld="3" item="337"/>
        </tpls>
      </query>
      <query mdx="[Product].[Product Categories].[Product Name].&amp;[510]">
        <tpls c="1">
          <tpl fld="3" item="338"/>
        </tpls>
      </query>
      <query mdx="[Product].[Product Categories].[Subcategory].&amp;[17]">
        <tpls c="1">
          <tpl fld="2" item="34"/>
        </tpls>
      </query>
      <query mdx="[Product].[Product Categories].[Product Name].&amp;[410]">
        <tpls c="1">
          <tpl fld="3" item="339"/>
        </tpls>
      </query>
      <query mdx="[Product].[Product Categories].[Product Name].&amp;[411]">
        <tpls c="1">
          <tpl fld="3" item="340"/>
        </tpls>
      </query>
      <query mdx="[Product].[Product Categories].[Product Name].&amp;[412]">
        <tpls c="1">
          <tpl fld="3" item="341"/>
        </tpls>
      </query>
      <query mdx="[Product].[Product Categories].[Product Name].&amp;[414]">
        <tpls c="1">
          <tpl fld="3" item="342"/>
        </tpls>
      </query>
      <query mdx="[Product].[Product Categories].[Product Name].&amp;[415]">
        <tpls c="1">
          <tpl fld="3" item="343"/>
        </tpls>
      </query>
      <query mdx="[Product].[Product Categories].[Product Name].&amp;[419]">
        <tpls c="1">
          <tpl fld="3" item="344"/>
        </tpls>
      </query>
      <query mdx="[Product].[Product Categories].[Product Name].&amp;[420]">
        <tpls c="1">
          <tpl fld="3" item="345"/>
        </tpls>
      </query>
      <query mdx="[Product].[Product Categories].[Product Name].&amp;[421]">
        <tpls c="1">
          <tpl fld="3" item="346"/>
        </tpls>
      </query>
      <query mdx="[Product].[Product Categories].[Product Name].&amp;[422]">
        <tpls c="1">
          <tpl fld="3" item="347"/>
        </tpls>
      </query>
      <query mdx="[Product].[Product Categories].[Product Name].&amp;[423]">
        <tpls c="1">
          <tpl fld="3" item="348"/>
        </tpls>
      </query>
      <query mdx="[Product].[Product Categories].[Product Name].&amp;[424]">
        <tpls c="1">
          <tpl fld="3" item="349"/>
        </tpls>
      </query>
      <query mdx="[Product].[Product Categories].[All Products]">
        <tpls c="1">
          <tpl hier="101" item="4294967295"/>
        </tpls>
      </query>
    </queryCache>
  </tupleCache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D391"/>
  <sheetViews>
    <sheetView tabSelected="1" workbookViewId="0">
      <selection activeCell="D6" sqref="D6"/>
    </sheetView>
  </sheetViews>
  <sheetFormatPr defaultRowHeight="15"/>
  <cols>
    <col min="1" max="1" width="33" bestFit="1" customWidth="1"/>
    <col min="2" max="2" width="13.85546875" customWidth="1"/>
    <col min="3" max="3" width="14" customWidth="1"/>
    <col min="4" max="4" width="15" bestFit="1" customWidth="1"/>
  </cols>
  <sheetData>
    <row r="1" spans="1:4">
      <c r="A1" t="s">
        <v>1</v>
      </c>
      <c r="B1" t="s">
        <v>2</v>
      </c>
      <c r="C1" t="s">
        <v>0</v>
      </c>
      <c r="D1" t="str" vm="2">
        <f>CUBEMEMBER("xlextdat9 Adventure Works DW Adventure Works","[Measures].[Sales Amount]")</f>
        <v>Sales Amount</v>
      </c>
    </row>
    <row r="2" spans="1:4">
      <c r="A2" s="1" t="str" vm="391">
        <f>CUBEMEMBER("xlextdat9 Adventure Works DW Adventure Works","[Product].[Product Categories].[Category].&amp;[4]")</f>
        <v>Accessories</v>
      </c>
      <c r="D2" vm="583">
        <f t="shared" ref="D2:D65" si="0">CUBEVALUE("xlextdat9 Adventure Works DW Adventure Works",$A2,D$1)</f>
        <v>1272057.8877997734</v>
      </c>
    </row>
    <row r="3" spans="1:4">
      <c r="A3" s="2" t="str" vm="390">
        <f>CUBEMEMBER("xlextdat9 Adventure Works DW Adventure Works","[Product].[Product Categories].[Subcategory].&amp;[26]")</f>
        <v>Bike Racks</v>
      </c>
      <c r="B3" s="1" t="e">
        <f>CUBEMEMBERPROPERTY("xlextdat9 Adventure Works DW Adventure Works","[Product].[Product Categories].[Subcategory].&amp;[26]","Category")</f>
        <v>#N/A</v>
      </c>
      <c r="D3" vm="780">
        <f t="shared" si="0"/>
        <v>237096.15599999999</v>
      </c>
    </row>
    <row r="4" spans="1:4">
      <c r="A4" s="3" t="str" vm="389">
        <f>CUBEMEMBER("xlextdat9 Adventure Works DW Adventure Works","[Product].[Product Categories].[Product Name].&amp;[483]")</f>
        <v>Hitch Rack - 4-Bike</v>
      </c>
      <c r="B4" s="1"/>
      <c r="C4" s="1" t="e">
        <f>CUBEMEMBERPROPERTY("xlextdat9 Adventure Works DW Adventure Works","[Product].[Product Categories].[Product Name].&amp;[483]","Color")</f>
        <v>#N/A</v>
      </c>
      <c r="D4" vm="582">
        <f t="shared" si="0"/>
        <v>237096.15599999999</v>
      </c>
    </row>
    <row r="5" spans="1:4">
      <c r="A5" s="2" t="str" vm="388">
        <f>CUBEMEMBER("xlextdat9 Adventure Works DW Adventure Works","[Product].[Product Categories].[Subcategory].&amp;[27]")</f>
        <v>Bike Stands</v>
      </c>
      <c r="B5" s="1" t="e">
        <f>CUBEMEMBERPROPERTY("xlextdat9 Adventure Works DW Adventure Works","[Product].[Product Categories].[Subcategory].&amp;[27]","Category")</f>
        <v>#N/A</v>
      </c>
      <c r="D5" vm="779">
        <f t="shared" si="0"/>
        <v>39591</v>
      </c>
    </row>
    <row r="6" spans="1:4">
      <c r="A6" s="3" t="str" vm="387">
        <f>CUBEMEMBER("xlextdat9 Adventure Works DW Adventure Works","[Product].[Product Categories].[Product Name].&amp;[486]")</f>
        <v>All-Purpose Bike Stand</v>
      </c>
      <c r="B6" s="1"/>
      <c r="C6" s="1" t="e">
        <f>CUBEMEMBERPROPERTY("xlextdat9 Adventure Works DW Adventure Works","[Product].[Product Categories].[Product Name].&amp;[486]","Color")</f>
        <v>#N/A</v>
      </c>
      <c r="D6" vm="581">
        <f t="shared" si="0"/>
        <v>39591</v>
      </c>
    </row>
    <row r="7" spans="1:4">
      <c r="A7" s="2" t="str" vm="386">
        <f>CUBEMEMBER("xlextdat9 Adventure Works DW Adventure Works","[Product].[Product Categories].[Subcategory].&amp;[28]")</f>
        <v>Bottles and Cages</v>
      </c>
      <c r="B7" s="1" t="e">
        <f>CUBEMEMBERPROPERTY("xlextdat9 Adventure Works DW Adventure Works","[Product].[Product Categories].[Subcategory].&amp;[28]","Category")</f>
        <v>#N/A</v>
      </c>
      <c r="D7" vm="778">
        <f t="shared" si="0"/>
        <v>64274.793600001009</v>
      </c>
    </row>
    <row r="8" spans="1:4">
      <c r="A8" s="3" t="str" vm="385">
        <f>CUBEMEMBER("xlextdat9 Adventure Works DW Adventure Works","[Product].[Product Categories].[Product Name].&amp;[477]")</f>
        <v>Water Bottle - 30 oz.</v>
      </c>
      <c r="B8" s="1"/>
      <c r="C8" s="1" t="e">
        <f>CUBEMEMBERPROPERTY("xlextdat9 Adventure Works DW Adventure Works","[Product].[Product Categories].[Product Name].&amp;[477]","Color")</f>
        <v>#N/A</v>
      </c>
      <c r="D8" vm="580">
        <f t="shared" si="0"/>
        <v>28654.163599999407</v>
      </c>
    </row>
    <row r="9" spans="1:4">
      <c r="A9" s="3" t="str" vm="384">
        <f>CUBEMEMBER("xlextdat9 Adventure Works DW Adventure Works","[Product].[Product Categories].[Product Name].&amp;[478]")</f>
        <v>Mountain Bottle Cage</v>
      </c>
      <c r="B9" s="1"/>
      <c r="C9" s="1" t="e">
        <f>CUBEMEMBERPROPERTY("xlextdat9 Adventure Works DW Adventure Works","[Product].[Product Categories].[Product Name].&amp;[478]","Color")</f>
        <v>#N/A</v>
      </c>
      <c r="D9" vm="777">
        <f t="shared" si="0"/>
        <v>20229.749999999745</v>
      </c>
    </row>
    <row r="10" spans="1:4">
      <c r="A10" s="3" t="str" vm="383">
        <f>CUBEMEMBER("xlextdat9 Adventure Works DW Adventure Works","[Product].[Product Categories].[Product Name].&amp;[479]")</f>
        <v>Road Bottle Cage</v>
      </c>
      <c r="B10" s="1"/>
      <c r="C10" s="1" t="e">
        <f>CUBEMEMBERPROPERTY("xlextdat9 Adventure Works DW Adventure Works","[Product].[Product Categories].[Product Name].&amp;[479]","Color")</f>
        <v>#N/A</v>
      </c>
      <c r="D10" vm="579">
        <f t="shared" si="0"/>
        <v>15390.879999999841</v>
      </c>
    </row>
    <row r="11" spans="1:4">
      <c r="A11" s="2" t="str" vm="382">
        <f>CUBEMEMBER("xlextdat9 Adventure Works DW Adventure Works","[Product].[Product Categories].[Subcategory].&amp;[29]")</f>
        <v>Cleaners</v>
      </c>
      <c r="B11" s="1" t="e">
        <f>CUBEMEMBERPROPERTY("xlextdat9 Adventure Works DW Adventure Works","[Product].[Product Categories].[Subcategory].&amp;[29]","Category")</f>
        <v>#N/A</v>
      </c>
      <c r="D11" vm="776">
        <f t="shared" si="0"/>
        <v>18406.972500000011</v>
      </c>
    </row>
    <row r="12" spans="1:4">
      <c r="A12" s="3" t="str" vm="381">
        <f>CUBEMEMBER("xlextdat9 Adventure Works DW Adventure Works","[Product].[Product Categories].[Product Name].&amp;[484]")</f>
        <v>Bike Wash - Dissolver</v>
      </c>
      <c r="B12" s="1"/>
      <c r="C12" s="1" t="e">
        <f>CUBEMEMBERPROPERTY("xlextdat9 Adventure Works DW Adventure Works","[Product].[Product Categories].[Product Name].&amp;[484]","Color")</f>
        <v>#N/A</v>
      </c>
      <c r="D12" vm="578">
        <f t="shared" si="0"/>
        <v>18406.972500000011</v>
      </c>
    </row>
    <row r="13" spans="1:4">
      <c r="A13" s="2" t="str" vm="380">
        <f>CUBEMEMBER("xlextdat9 Adventure Works DW Adventure Works","[Product].[Product Categories].[Subcategory].&amp;[30]")</f>
        <v>Fenders</v>
      </c>
      <c r="B13" s="1" t="e">
        <f>CUBEMEMBERPROPERTY("xlextdat9 Adventure Works DW Adventure Works","[Product].[Product Categories].[Subcategory].&amp;[30]","Category")</f>
        <v>#N/A</v>
      </c>
      <c r="D13" vm="775">
        <f t="shared" si="0"/>
        <v>46619.579999999507</v>
      </c>
    </row>
    <row r="14" spans="1:4">
      <c r="A14" s="3" t="str" vm="379">
        <f>CUBEMEMBER("xlextdat9 Adventure Works DW Adventure Works","[Product].[Product Categories].[Product Name].&amp;[485]")</f>
        <v>Fender Set - Mountain</v>
      </c>
      <c r="B14" s="1"/>
      <c r="C14" s="1" t="e">
        <f>CUBEMEMBERPROPERTY("xlextdat9 Adventure Works DW Adventure Works","[Product].[Product Categories].[Product Name].&amp;[485]","Color")</f>
        <v>#N/A</v>
      </c>
      <c r="D14" vm="577">
        <f t="shared" si="0"/>
        <v>46619.579999999507</v>
      </c>
    </row>
    <row r="15" spans="1:4">
      <c r="A15" s="2" t="str" vm="378">
        <f>CUBEMEMBER("xlextdat9 Adventure Works DW Adventure Works","[Product].[Product Categories].[Subcategory].&amp;[31]")</f>
        <v>Helmets</v>
      </c>
      <c r="B15" s="1" t="e">
        <f>CUBEMEMBERPROPERTY("xlextdat9 Adventure Works DW Adventure Works","[Product].[Product Categories].[Subcategory].&amp;[31]","Category")</f>
        <v>#N/A</v>
      </c>
      <c r="D15" vm="774">
        <f t="shared" si="0"/>
        <v>484048.53229999635</v>
      </c>
    </row>
    <row r="16" spans="1:4">
      <c r="A16" s="3" t="str" vm="377">
        <f>CUBEMEMBER("xlextdat9 Adventure Works DW Adventure Works","[Product].[Product Categories].[Product Name].&amp;[212]")</f>
        <v>Sport-100 Helmet, Red</v>
      </c>
      <c r="B16" s="1"/>
      <c r="C16" s="1" t="e">
        <f>CUBEMEMBERPROPERTY("xlextdat9 Adventure Works DW Adventure Works","[Product].[Product Categories].[Product Name].&amp;[212]","Color")</f>
        <v>#N/A</v>
      </c>
      <c r="D16" vm="576">
        <f t="shared" si="0"/>
        <v>11385.186</v>
      </c>
    </row>
    <row r="17" spans="1:4">
      <c r="A17" s="3" t="str" vm="376">
        <f>CUBEMEMBER("xlextdat9 Adventure Works DW Adventure Works","[Product].[Product Categories].[Product Name].&amp;[213]")</f>
        <v>Sport-100 Helmet, Red</v>
      </c>
      <c r="B17" s="1"/>
      <c r="C17" s="1" t="e">
        <f>CUBEMEMBERPROPERTY("xlextdat9 Adventure Works DW Adventure Works","[Product].[Product Categories].[Product Name].&amp;[213]","Color")</f>
        <v>#N/A</v>
      </c>
      <c r="D17" vm="773">
        <f t="shared" si="0"/>
        <v>29031.350699999995</v>
      </c>
    </row>
    <row r="18" spans="1:4">
      <c r="A18" s="3" t="str" vm="375">
        <f>CUBEMEMBER("xlextdat9 Adventure Works DW Adventure Works","[Product].[Product Categories].[Product Name].&amp;[214]")</f>
        <v>Sport-100 Helmet, Red</v>
      </c>
      <c r="B18" s="1"/>
      <c r="C18" s="1" t="e">
        <f>CUBEMEMBERPROPERTY("xlextdat9 Adventure Works DW Adventure Works","[Product].[Product Categories].[Product Name].&amp;[214]","Color")</f>
        <v>#N/A</v>
      </c>
      <c r="D18" vm="575">
        <f t="shared" si="0"/>
        <v>117355.85860000024</v>
      </c>
    </row>
    <row r="19" spans="1:4">
      <c r="A19" s="3" t="str" vm="374">
        <f>CUBEMEMBER("xlextdat9 Adventure Works DW Adventure Works","[Product].[Product Categories].[Product Name].&amp;[215]")</f>
        <v>Sport-100 Helmet, Black</v>
      </c>
      <c r="B19" s="1"/>
      <c r="C19" s="1" t="e">
        <f>CUBEMEMBERPROPERTY("xlextdat9 Adventure Works DW Adventure Works","[Product].[Product Categories].[Product Name].&amp;[215]","Color")</f>
        <v>#N/A</v>
      </c>
      <c r="D19" vm="772">
        <f t="shared" si="0"/>
        <v>12098.078800000001</v>
      </c>
    </row>
    <row r="20" spans="1:4">
      <c r="A20" s="3" t="str" vm="373">
        <f>CUBEMEMBER("xlextdat9 Adventure Works DW Adventure Works","[Product].[Product Categories].[Product Name].&amp;[216]")</f>
        <v>Sport-100 Helmet, Black</v>
      </c>
      <c r="B20" s="1"/>
      <c r="C20" s="1" t="e">
        <f>CUBEMEMBERPROPERTY("xlextdat9 Adventure Works DW Adventure Works","[Product].[Product Categories].[Product Name].&amp;[216]","Color")</f>
        <v>#N/A</v>
      </c>
      <c r="D20" vm="574">
        <f t="shared" si="0"/>
        <v>31866.829899999997</v>
      </c>
    </row>
    <row r="21" spans="1:4">
      <c r="A21" s="3" t="str" vm="372">
        <f>CUBEMEMBER("xlextdat9 Adventure Works DW Adventure Works","[Product].[Product Categories].[Product Name].&amp;[217]")</f>
        <v>Sport-100 Helmet, Black</v>
      </c>
      <c r="B21" s="1"/>
      <c r="C21" s="1" t="e">
        <f>CUBEMEMBERPROPERTY("xlextdat9 Adventure Works DW Adventure Works","[Product].[Product Categories].[Product Name].&amp;[217]","Color")</f>
        <v>#N/A</v>
      </c>
      <c r="D21" vm="771">
        <f t="shared" si="0"/>
        <v>116904.61020000008</v>
      </c>
    </row>
    <row r="22" spans="1:4">
      <c r="A22" s="3" t="str" vm="371">
        <f>CUBEMEMBER("xlextdat9 Adventure Works DW Adventure Works","[Product].[Product Categories].[Product Name].&amp;[220]")</f>
        <v>Sport-100 Helmet, Blue</v>
      </c>
      <c r="B22" s="1"/>
      <c r="C22" s="1" t="e">
        <f>CUBEMEMBERPROPERTY("xlextdat9 Adventure Works DW Adventure Works","[Product].[Product Categories].[Product Name].&amp;[220]","Color")</f>
        <v>#N/A</v>
      </c>
      <c r="D22" vm="573">
        <f t="shared" si="0"/>
        <v>13331.581600000001</v>
      </c>
    </row>
    <row r="23" spans="1:4">
      <c r="A23" s="3" t="str" vm="370">
        <f>CUBEMEMBER("xlextdat9 Adventure Works DW Adventure Works","[Product].[Product Categories].[Product Name].&amp;[221]")</f>
        <v>Sport-100 Helmet, Blue</v>
      </c>
      <c r="B23" s="1"/>
      <c r="C23" s="1" t="e">
        <f>CUBEMEMBERPROPERTY("xlextdat9 Adventure Works DW Adventure Works","[Product].[Product Categories].[Product Name].&amp;[221]","Color")</f>
        <v>#N/A</v>
      </c>
      <c r="D23" vm="770">
        <f t="shared" si="0"/>
        <v>33795.263500000001</v>
      </c>
    </row>
    <row r="24" spans="1:4">
      <c r="A24" s="3" t="str" vm="369">
        <f>CUBEMEMBER("xlextdat9 Adventure Works DW Adventure Works","[Product].[Product Categories].[Product Name].&amp;[222]")</f>
        <v>Sport-100 Helmet, Blue</v>
      </c>
      <c r="B24" s="1"/>
      <c r="C24" s="1" t="e">
        <f>CUBEMEMBERPROPERTY("xlextdat9 Adventure Works DW Adventure Works","[Product].[Product Categories].[Product Name].&amp;[222]","Color")</f>
        <v>#N/A</v>
      </c>
      <c r="D24" vm="572">
        <f t="shared" si="0"/>
        <v>118279.77300000009</v>
      </c>
    </row>
    <row r="25" spans="1:4">
      <c r="A25" s="2" t="str" vm="368">
        <f>CUBEMEMBER("xlextdat9 Adventure Works DW Adventure Works","[Product].[Product Categories].[Subcategory].&amp;[32]")</f>
        <v>Hydration Packs</v>
      </c>
      <c r="B25" s="1" t="e">
        <f>CUBEMEMBERPROPERTY("xlextdat9 Adventure Works DW Adventure Works","[Product].[Product Categories].[Subcategory].&amp;[32]","Category")</f>
        <v>#N/A</v>
      </c>
      <c r="D25" vm="769">
        <f t="shared" si="0"/>
        <v>105826.41849999951</v>
      </c>
    </row>
    <row r="26" spans="1:4">
      <c r="A26" s="3" t="str" vm="367">
        <f>CUBEMEMBER("xlextdat9 Adventure Works DW Adventure Works","[Product].[Product Categories].[Product Name].&amp;[487]")</f>
        <v>Hydration Pack - 70 oz.</v>
      </c>
      <c r="B26" s="1"/>
      <c r="C26" s="1" t="e">
        <f>CUBEMEMBERPROPERTY("xlextdat9 Adventure Works DW Adventure Works","[Product].[Product Categories].[Product Name].&amp;[487]","Color")</f>
        <v>#N/A</v>
      </c>
      <c r="D26" vm="571">
        <f t="shared" si="0"/>
        <v>105826.41849999951</v>
      </c>
    </row>
    <row r="27" spans="1:4">
      <c r="A27" s="2" t="str" vm="366">
        <f>CUBEMEMBER("xlextdat9 Adventure Works DW Adventure Works","[Product].[Product Categories].[Subcategory].&amp;[34]")</f>
        <v>Locks</v>
      </c>
      <c r="B27" s="1" t="e">
        <f>CUBEMEMBERPROPERTY("xlextdat9 Adventure Works DW Adventure Works","[Product].[Product Categories].[Subcategory].&amp;[34]","Category")</f>
        <v>#N/A</v>
      </c>
      <c r="D27" vm="768">
        <f t="shared" si="0"/>
        <v>16225.220000000001</v>
      </c>
    </row>
    <row r="28" spans="1:4">
      <c r="A28" s="3" t="str" vm="365">
        <f>CUBEMEMBER("xlextdat9 Adventure Works DW Adventure Works","[Product].[Product Categories].[Product Name].&amp;[447]")</f>
        <v>Cable Lock</v>
      </c>
      <c r="B28" s="1"/>
      <c r="C28" s="1" t="e">
        <f>CUBEMEMBERPROPERTY("xlextdat9 Adventure Works DW Adventure Works","[Product].[Product Categories].[Product Name].&amp;[447]","Color")</f>
        <v>#N/A</v>
      </c>
      <c r="D28" vm="570">
        <f t="shared" si="0"/>
        <v>16225.220000000001</v>
      </c>
    </row>
    <row r="29" spans="1:4">
      <c r="A29" s="2" t="str" vm="364">
        <f>CUBEMEMBER("xlextdat9 Adventure Works DW Adventure Works","[Product].[Product Categories].[Subcategory].&amp;[36]")</f>
        <v>Pumps</v>
      </c>
      <c r="B29" s="1" t="e">
        <f>CUBEMEMBERPROPERTY("xlextdat9 Adventure Works DW Adventure Works","[Product].[Product Categories].[Subcategory].&amp;[36]","Category")</f>
        <v>#N/A</v>
      </c>
      <c r="D29" vm="767">
        <f t="shared" si="0"/>
        <v>13514.687299999998</v>
      </c>
    </row>
    <row r="30" spans="1:4">
      <c r="A30" s="3" t="str" vm="363">
        <f>CUBEMEMBER("xlextdat9 Adventure Works DW Adventure Works","[Product].[Product Categories].[Product Name].&amp;[448]")</f>
        <v>Minipump</v>
      </c>
      <c r="B30" s="1"/>
      <c r="C30" s="1" t="e">
        <f>CUBEMEMBERPROPERTY("xlextdat9 Adventure Works DW Adventure Works","[Product].[Product Categories].[Product Name].&amp;[448]","Color")</f>
        <v>#N/A</v>
      </c>
      <c r="D30" vm="569">
        <f t="shared" si="0"/>
        <v>13514.687299999998</v>
      </c>
    </row>
    <row r="31" spans="1:4">
      <c r="A31" s="2" t="str" vm="362">
        <f>CUBEMEMBER("xlextdat9 Adventure Works DW Adventure Works","[Product].[Product Categories].[Subcategory].&amp;[37]")</f>
        <v>Tires and Tubes</v>
      </c>
      <c r="B31" s="1" t="e">
        <f>CUBEMEMBERPROPERTY("xlextdat9 Adventure Works DW Adventure Works","[Product].[Product Categories].[Subcategory].&amp;[37]","Category")</f>
        <v>#N/A</v>
      </c>
      <c r="D31" vm="766">
        <f t="shared" si="0"/>
        <v>246454.52760000536</v>
      </c>
    </row>
    <row r="32" spans="1:4">
      <c r="A32" s="3" t="str" vm="361">
        <f>CUBEMEMBER("xlextdat9 Adventure Works DW Adventure Works","[Product].[Product Categories].[Product Name].&amp;[480]")</f>
        <v>Patch Kit/8 Patches</v>
      </c>
      <c r="B32" s="1"/>
      <c r="C32" s="1" t="e">
        <f>CUBEMEMBERPROPERTY("xlextdat9 Adventure Works DW Adventure Works","[Product].[Product Categories].[Product Name].&amp;[480]","Color")</f>
        <v>#N/A</v>
      </c>
      <c r="D32" vm="568">
        <f t="shared" si="0"/>
        <v>8232.5975999999009</v>
      </c>
    </row>
    <row r="33" spans="1:4">
      <c r="A33" s="3" t="str" vm="360">
        <f>CUBEMEMBER("xlextdat9 Adventure Works DW Adventure Works","[Product].[Product Categories].[Product Name].&amp;[528]")</f>
        <v>Mountain Tire Tube</v>
      </c>
      <c r="B33" s="1"/>
      <c r="C33" s="1" t="e">
        <f>CUBEMEMBERPROPERTY("xlextdat9 Adventure Works DW Adventure Works","[Product].[Product Categories].[Product Name].&amp;[528]","Color")</f>
        <v>#N/A</v>
      </c>
      <c r="D33" vm="765">
        <f t="shared" si="0"/>
        <v>15444.049999999781</v>
      </c>
    </row>
    <row r="34" spans="1:4">
      <c r="A34" s="3" t="str" vm="359">
        <f>CUBEMEMBER("xlextdat9 Adventure Works DW Adventure Works","[Product].[Product Categories].[Product Name].&amp;[529]")</f>
        <v>Road Tire Tube</v>
      </c>
      <c r="B34" s="1"/>
      <c r="C34" s="1" t="e">
        <f>CUBEMEMBERPROPERTY("xlextdat9 Adventure Works DW Adventure Works","[Product].[Product Categories].[Product Name].&amp;[529]","Color")</f>
        <v>#N/A</v>
      </c>
      <c r="D34" vm="567">
        <f t="shared" si="0"/>
        <v>9480.239999999867</v>
      </c>
    </row>
    <row r="35" spans="1:4">
      <c r="A35" s="3" t="str" vm="358">
        <f>CUBEMEMBER("xlextdat9 Adventure Works DW Adventure Works","[Product].[Product Categories].[Product Name].&amp;[530]")</f>
        <v>Touring Tire Tube</v>
      </c>
      <c r="B35" s="1"/>
      <c r="C35" s="1" t="e">
        <f>CUBEMEMBERPROPERTY("xlextdat9 Adventure Works DW Adventure Works","[Product].[Product Categories].[Product Name].&amp;[530]","Color")</f>
        <v>#N/A</v>
      </c>
      <c r="D35" vm="764">
        <f t="shared" si="0"/>
        <v>7425.1199999999199</v>
      </c>
    </row>
    <row r="36" spans="1:4">
      <c r="A36" s="3" t="str" vm="357">
        <f>CUBEMEMBER("xlextdat9 Adventure Works DW Adventure Works","[Product].[Product Categories].[Product Name].&amp;[535]")</f>
        <v>LL Mountain Tire</v>
      </c>
      <c r="B36" s="1"/>
      <c r="C36" s="1" t="e">
        <f>CUBEMEMBERPROPERTY("xlextdat9 Adventure Works DW Adventure Works","[Product].[Product Categories].[Product Name].&amp;[535]","Color")</f>
        <v>#N/A</v>
      </c>
      <c r="D36" vm="566">
        <f t="shared" si="0"/>
        <v>21541.379999999866</v>
      </c>
    </row>
    <row r="37" spans="1:4">
      <c r="A37" s="3" t="str" vm="356">
        <f>CUBEMEMBER("xlextdat9 Adventure Works DW Adventure Works","[Product].[Product Categories].[Product Name].&amp;[536]")</f>
        <v>ML Mountain Tire</v>
      </c>
      <c r="B37" s="1"/>
      <c r="C37" s="1" t="e">
        <f>CUBEMEMBERPROPERTY("xlextdat9 Adventure Works DW Adventure Works","[Product].[Product Categories].[Product Name].&amp;[536]","Color")</f>
        <v>#N/A</v>
      </c>
      <c r="D37" vm="763">
        <f t="shared" si="0"/>
        <v>34818.389999999956</v>
      </c>
    </row>
    <row r="38" spans="1:4">
      <c r="A38" s="3" t="str" vm="355">
        <f>CUBEMEMBER("xlextdat9 Adventure Works DW Adventure Works","[Product].[Product Categories].[Product Name].&amp;[537]")</f>
        <v>HL Mountain Tire</v>
      </c>
      <c r="B38" s="1"/>
      <c r="C38" s="1" t="e">
        <f>CUBEMEMBERPROPERTY("xlextdat9 Adventure Works DW Adventure Works","[Product].[Product Categories].[Product Name].&amp;[537]","Color")</f>
        <v>#N/A</v>
      </c>
      <c r="D38" vm="565">
        <f t="shared" si="0"/>
        <v>48860</v>
      </c>
    </row>
    <row r="39" spans="1:4">
      <c r="A39" s="3" t="str" vm="354">
        <f>CUBEMEMBER("xlextdat9 Adventure Works DW Adventure Works","[Product].[Product Categories].[Product Name].&amp;[538]")</f>
        <v>LL Road Tire</v>
      </c>
      <c r="B39" s="1"/>
      <c r="C39" s="1" t="e">
        <f>CUBEMEMBERPROPERTY("xlextdat9 Adventure Works DW Adventure Works","[Product].[Product Categories].[Product Name].&amp;[538]","Color")</f>
        <v>#N/A</v>
      </c>
      <c r="D39" vm="762">
        <f t="shared" si="0"/>
        <v>22435.559999999834</v>
      </c>
    </row>
    <row r="40" spans="1:4">
      <c r="A40" s="3" t="str" vm="353">
        <f>CUBEMEMBER("xlextdat9 Adventure Works DW Adventure Works","[Product].[Product Categories].[Product Name].&amp;[539]")</f>
        <v>ML Road Tire</v>
      </c>
      <c r="B40" s="1"/>
      <c r="C40" s="1" t="e">
        <f>CUBEMEMBERPROPERTY("xlextdat9 Adventure Works DW Adventure Works","[Product].[Product Categories].[Product Name].&amp;[539]","Color")</f>
        <v>#N/A</v>
      </c>
      <c r="D40" vm="564">
        <f t="shared" si="0"/>
        <v>23140.73999999986</v>
      </c>
    </row>
    <row r="41" spans="1:4">
      <c r="A41" s="3" t="str" vm="352">
        <f>CUBEMEMBER("xlextdat9 Adventure Works DW Adventure Works","[Product].[Product Categories].[Product Name].&amp;[540]")</f>
        <v>HL Road Tire</v>
      </c>
      <c r="B41" s="1"/>
      <c r="C41" s="1" t="e">
        <f>CUBEMEMBERPROPERTY("xlextdat9 Adventure Works DW Adventure Works","[Product].[Product Categories].[Product Name].&amp;[540]","Color")</f>
        <v>#N/A</v>
      </c>
      <c r="D41" vm="761">
        <f t="shared" si="0"/>
        <v>27970.800000000156</v>
      </c>
    </row>
    <row r="42" spans="1:4">
      <c r="A42" s="3" t="str" vm="351">
        <f>CUBEMEMBER("xlextdat9 Adventure Works DW Adventure Works","[Product].[Product Categories].[Product Name].&amp;[541]")</f>
        <v>Touring Tire</v>
      </c>
      <c r="B42" s="1"/>
      <c r="C42" s="1" t="e">
        <f>CUBEMEMBERPROPERTY("xlextdat9 Adventure Works DW Adventure Works","[Product].[Product Categories].[Product Name].&amp;[541]","Color")</f>
        <v>#N/A</v>
      </c>
      <c r="D42" vm="563">
        <f t="shared" si="0"/>
        <v>27105.649999999863</v>
      </c>
    </row>
    <row r="43" spans="1:4">
      <c r="A43" s="1" t="str" vm="350">
        <f>CUBEMEMBER("xlextdat9 Adventure Works DW Adventure Works","[Product].[Product Categories].[Category].&amp;[1]")</f>
        <v>Bikes</v>
      </c>
      <c r="D43" vm="760">
        <f t="shared" si="0"/>
        <v>94620526.207695395</v>
      </c>
    </row>
    <row r="44" spans="1:4">
      <c r="A44" s="2" t="str" vm="349">
        <f>CUBEMEMBER("xlextdat9 Adventure Works DW Adventure Works","[Product].[Product Categories].[Subcategory].&amp;[1]")</f>
        <v>Mountain Bikes</v>
      </c>
      <c r="B44" s="1" t="e">
        <f>CUBEMEMBERPROPERTY("xlextdat9 Adventure Works DW Adventure Works","[Product].[Product Categories].[Subcategory].&amp;[1]","Category")</f>
        <v>#N/A</v>
      </c>
      <c r="D44" vm="562">
        <f t="shared" si="0"/>
        <v>36445443.940901488</v>
      </c>
    </row>
    <row r="45" spans="1:4">
      <c r="A45" s="3" t="str" vm="348">
        <f>CUBEMEMBER("xlextdat9 Adventure Works DW Adventure Works","[Product].[Product Categories].[Product Name].&amp;[344]")</f>
        <v>Mountain-100 Silver, 38</v>
      </c>
      <c r="B45" s="1"/>
      <c r="C45" s="1" t="e">
        <f>CUBEMEMBERPROPERTY("xlextdat9 Adventure Works DW Adventure Works","[Product].[Product Categories].[Product Name].&amp;[344]","Color")</f>
        <v>#N/A</v>
      </c>
      <c r="D45" vm="759">
        <f t="shared" si="0"/>
        <v>1291868.7009999994</v>
      </c>
    </row>
    <row r="46" spans="1:4">
      <c r="A46" s="3" t="str" vm="347">
        <f>CUBEMEMBER("xlextdat9 Adventure Works DW Adventure Works","[Product].[Product Categories].[Product Name].&amp;[345]")</f>
        <v>Mountain-100 Silver, 42</v>
      </c>
      <c r="B46" s="1"/>
      <c r="C46" s="1" t="e">
        <f>CUBEMEMBERPROPERTY("xlextdat9 Adventure Works DW Adventure Works","[Product].[Product Categories].[Product Name].&amp;[345]","Color")</f>
        <v>#N/A</v>
      </c>
      <c r="D46" vm="561">
        <f t="shared" si="0"/>
        <v>1186494.8504999997</v>
      </c>
    </row>
    <row r="47" spans="1:4">
      <c r="A47" s="3" t="str" vm="346">
        <f>CUBEMEMBER("xlextdat9 Adventure Works DW Adventure Works","[Product].[Product Categories].[Product Name].&amp;[346]")</f>
        <v>Mountain-100 Silver, 44</v>
      </c>
      <c r="B47" s="1"/>
      <c r="C47" s="1" t="e">
        <f>CUBEMEMBERPROPERTY("xlextdat9 Adventure Works DW Adventure Works","[Product].[Product Categories].[Product Name].&amp;[346]","Color")</f>
        <v>#N/A</v>
      </c>
      <c r="D47" vm="758">
        <f t="shared" si="0"/>
        <v>1217210.3605</v>
      </c>
    </row>
    <row r="48" spans="1:4">
      <c r="A48" s="3" t="str" vm="345">
        <f>CUBEMEMBER("xlextdat9 Adventure Works DW Adventure Works","[Product].[Product Categories].[Product Name].&amp;[347]")</f>
        <v>Mountain-100 Silver, 48</v>
      </c>
      <c r="B48" s="1"/>
      <c r="C48" s="1" t="e">
        <f>CUBEMEMBERPROPERTY("xlextdat9 Adventure Works DW Adventure Works","[Product].[Product Categories].[Product Name].&amp;[347]","Color")</f>
        <v>#N/A</v>
      </c>
      <c r="D48" vm="560">
        <f t="shared" si="0"/>
        <v>1019657.0011999997</v>
      </c>
    </row>
    <row r="49" spans="1:4">
      <c r="A49" s="3" t="str" vm="344">
        <f>CUBEMEMBER("xlextdat9 Adventure Works DW Adventure Works","[Product].[Product Categories].[Product Name].&amp;[348]")</f>
        <v>Mountain-100 Black, 38</v>
      </c>
      <c r="B49" s="1"/>
      <c r="C49" s="1" t="e">
        <f>CUBEMEMBERPROPERTY("xlextdat9 Adventure Works DW Adventure Works","[Product].[Product Categories].[Product Name].&amp;[348]","Color")</f>
        <v>#N/A</v>
      </c>
      <c r="D49" vm="757">
        <f t="shared" si="0"/>
        <v>1339997.2547999998</v>
      </c>
    </row>
    <row r="50" spans="1:4">
      <c r="A50" s="3" t="str" vm="343">
        <f>CUBEMEMBER("xlextdat9 Adventure Works DW Adventure Works","[Product].[Product Categories].[Product Name].&amp;[349]")</f>
        <v>Mountain-100 Black, 42</v>
      </c>
      <c r="B50" s="1"/>
      <c r="C50" s="1" t="e">
        <f>CUBEMEMBERPROPERTY("xlextdat9 Adventure Works DW Adventure Works","[Product].[Product Categories].[Product Name].&amp;[349]","Color")</f>
        <v>#N/A</v>
      </c>
      <c r="D50" vm="559">
        <f t="shared" si="0"/>
        <v>1254722.7325999998</v>
      </c>
    </row>
    <row r="51" spans="1:4">
      <c r="A51" s="3" t="str" vm="342">
        <f>CUBEMEMBER("xlextdat9 Adventure Works DW Adventure Works","[Product].[Product Categories].[Product Name].&amp;[350]")</f>
        <v>Mountain-100 Black, 44</v>
      </c>
      <c r="B51" s="1"/>
      <c r="C51" s="1" t="e">
        <f>CUBEMEMBERPROPERTY("xlextdat9 Adventure Works DW Adventure Works","[Product].[Product Categories].[Product Name].&amp;[350]","Color")</f>
        <v>#N/A</v>
      </c>
      <c r="D51" vm="756">
        <f t="shared" si="0"/>
        <v>1365852.3782999995</v>
      </c>
    </row>
    <row r="52" spans="1:4">
      <c r="A52" s="3" t="str" vm="341">
        <f>CUBEMEMBER("xlextdat9 Adventure Works DW Adventure Works","[Product].[Product Categories].[Product Name].&amp;[351]")</f>
        <v>Mountain-100 Black, 48</v>
      </c>
      <c r="B52" s="1"/>
      <c r="C52" s="1" t="e">
        <f>CUBEMEMBERPROPERTY("xlextdat9 Adventure Works DW Adventure Works","[Product].[Product Categories].[Product Name].&amp;[351]","Color")</f>
        <v>#N/A</v>
      </c>
      <c r="D52" vm="558">
        <f t="shared" si="0"/>
        <v>1234276.0308999997</v>
      </c>
    </row>
    <row r="53" spans="1:4">
      <c r="A53" s="3" t="str" vm="340">
        <f>CUBEMEMBER("xlextdat9 Adventure Works DW Adventure Works","[Product].[Product Categories].[Product Name].&amp;[352]")</f>
        <v>Mountain-200 Silver, 38</v>
      </c>
      <c r="B53" s="1"/>
      <c r="C53" s="1" t="e">
        <f>CUBEMEMBERPROPERTY("xlextdat9 Adventure Works DW Adventure Works","[Product].[Product Categories].[Product Name].&amp;[352]","Color")</f>
        <v>#N/A</v>
      </c>
      <c r="D53" vm="755">
        <f t="shared" si="0"/>
        <v>1532696.4280000036</v>
      </c>
    </row>
    <row r="54" spans="1:4">
      <c r="A54" s="3" t="str" vm="339">
        <f>CUBEMEMBER("xlextdat9 Adventure Works DW Adventure Works","[Product].[Product Categories].[Product Name].&amp;[353]")</f>
        <v>Mountain-200 Silver, 38</v>
      </c>
      <c r="B54" s="1"/>
      <c r="C54" s="1" t="e">
        <f>CUBEMEMBERPROPERTY("xlextdat9 Adventure Works DW Adventure Works","[Product].[Product Categories].[Product Name].&amp;[353]","Color")</f>
        <v>#N/A</v>
      </c>
      <c r="D54" vm="557">
        <f t="shared" si="0"/>
        <v>2160981.5973999961</v>
      </c>
    </row>
    <row r="55" spans="1:4">
      <c r="A55" s="3" t="str" vm="338">
        <f>CUBEMEMBER("xlextdat9 Adventure Works DW Adventure Works","[Product].[Product Categories].[Product Name].&amp;[354]")</f>
        <v>Mountain-200 Silver, 42</v>
      </c>
      <c r="B55" s="1"/>
      <c r="C55" s="1" t="e">
        <f>CUBEMEMBERPROPERTY("xlextdat9 Adventure Works DW Adventure Works","[Product].[Product Categories].[Product Name].&amp;[354]","Color")</f>
        <v>#N/A</v>
      </c>
      <c r="D55" vm="754">
        <f t="shared" si="0"/>
        <v>1523931.0089000037</v>
      </c>
    </row>
    <row r="56" spans="1:4">
      <c r="A56" s="3" t="str" vm="337">
        <f>CUBEMEMBER("xlextdat9 Adventure Works DW Adventure Works","[Product].[Product Categories].[Product Name].&amp;[355]")</f>
        <v>Mountain-200 Silver, 42</v>
      </c>
      <c r="B56" s="1"/>
      <c r="C56" s="1" t="e">
        <f>CUBEMEMBERPROPERTY("xlextdat9 Adventure Works DW Adventure Works","[Product].[Product Categories].[Product Name].&amp;[355]","Color")</f>
        <v>#N/A</v>
      </c>
      <c r="D56" vm="556">
        <f t="shared" si="0"/>
        <v>1914547.8516999967</v>
      </c>
    </row>
    <row r="57" spans="1:4">
      <c r="A57" s="3" t="str" vm="336">
        <f>CUBEMEMBER("xlextdat9 Adventure Works DW Adventure Works","[Product].[Product Categories].[Product Name].&amp;[356]")</f>
        <v>Mountain-200 Silver, 46</v>
      </c>
      <c r="B57" s="1"/>
      <c r="C57" s="1" t="e">
        <f>CUBEMEMBERPROPERTY("xlextdat9 Adventure Works DW Adventure Works","[Product].[Product Categories].[Product Name].&amp;[356]","Color")</f>
        <v>#N/A</v>
      </c>
      <c r="D57" vm="753">
        <f t="shared" si="0"/>
        <v>1528008.3906000038</v>
      </c>
    </row>
    <row r="58" spans="1:4">
      <c r="A58" s="3" t="str" vm="335">
        <f>CUBEMEMBER("xlextdat9 Adventure Works DW Adventure Works","[Product].[Product Categories].[Product Name].&amp;[357]")</f>
        <v>Mountain-200 Silver, 46</v>
      </c>
      <c r="B58" s="1"/>
      <c r="C58" s="1" t="e">
        <f>CUBEMEMBERPROPERTY("xlextdat9 Adventure Works DW Adventure Works","[Product].[Product Categories].[Product Name].&amp;[357]","Color")</f>
        <v>#N/A</v>
      </c>
      <c r="D58" vm="555">
        <f t="shared" si="0"/>
        <v>1906248.5513999965</v>
      </c>
    </row>
    <row r="59" spans="1:4">
      <c r="A59" s="3" t="str" vm="334">
        <f>CUBEMEMBER("xlextdat9 Adventure Works DW Adventure Works","[Product].[Product Categories].[Product Name].&amp;[358]")</f>
        <v>Mountain-200 Black, 38</v>
      </c>
      <c r="B59" s="1"/>
      <c r="C59" s="1" t="e">
        <f>CUBEMEMBERPROPERTY("xlextdat9 Adventure Works DW Adventure Works","[Product].[Product Categories].[Product Name].&amp;[358]","Color")</f>
        <v>#N/A</v>
      </c>
      <c r="D59" vm="752">
        <f t="shared" si="0"/>
        <v>1811229.0230000014</v>
      </c>
    </row>
    <row r="60" spans="1:4">
      <c r="A60" s="3" t="str" vm="333">
        <f>CUBEMEMBER("xlextdat9 Adventure Works DW Adventure Works","[Product].[Product Categories].[Product Name].&amp;[359]")</f>
        <v>Mountain-200 Black, 38</v>
      </c>
      <c r="B60" s="1"/>
      <c r="C60" s="1" t="e">
        <f>CUBEMEMBERPROPERTY("xlextdat9 Adventure Works DW Adventure Works","[Product].[Product Categories].[Product Name].&amp;[359]","Color")</f>
        <v>#N/A</v>
      </c>
      <c r="D60" vm="554">
        <f t="shared" si="0"/>
        <v>2589363.7773999958</v>
      </c>
    </row>
    <row r="61" spans="1:4">
      <c r="A61" s="3" t="str" vm="332">
        <f>CUBEMEMBER("xlextdat9 Adventure Works DW Adventure Works","[Product].[Product Categories].[Product Name].&amp;[360]")</f>
        <v>Mountain-200 Black, 42</v>
      </c>
      <c r="B61" s="1"/>
      <c r="C61" s="1" t="e">
        <f>CUBEMEMBERPROPERTY("xlextdat9 Adventure Works DW Adventure Works","[Product].[Product Categories].[Product Name].&amp;[360]","Color")</f>
        <v>#N/A</v>
      </c>
      <c r="D61" vm="751">
        <f t="shared" si="0"/>
        <v>1744009.3828000014</v>
      </c>
    </row>
    <row r="62" spans="1:4">
      <c r="A62" s="3" t="str" vm="331">
        <f>CUBEMEMBER("xlextdat9 Adventure Works DW Adventure Works","[Product].[Product Categories].[Product Name].&amp;[361]")</f>
        <v>Mountain-200 Black, 42</v>
      </c>
      <c r="B62" s="1"/>
      <c r="C62" s="1" t="e">
        <f>CUBEMEMBERPROPERTY("xlextdat9 Adventure Works DW Adventure Works","[Product].[Product Categories].[Product Name].&amp;[361]","Color")</f>
        <v>#N/A</v>
      </c>
      <c r="D62" vm="553">
        <f t="shared" si="0"/>
        <v>2265485.3790999958</v>
      </c>
    </row>
    <row r="63" spans="1:4">
      <c r="A63" s="3" t="str" vm="330">
        <f>CUBEMEMBER("xlextdat9 Adventure Works DW Adventure Works","[Product].[Product Categories].[Product Name].&amp;[362]")</f>
        <v>Mountain-200 Black, 46</v>
      </c>
      <c r="B63" s="1"/>
      <c r="C63" s="1" t="e">
        <f>CUBEMEMBERPROPERTY("xlextdat9 Adventure Works DW Adventure Works","[Product].[Product Categories].[Product Name].&amp;[362]","Color")</f>
        <v>#N/A</v>
      </c>
      <c r="D63" vm="750">
        <f t="shared" si="0"/>
        <v>1352144.9725000015</v>
      </c>
    </row>
    <row r="64" spans="1:4">
      <c r="A64" s="3" t="str" vm="329">
        <f>CUBEMEMBER("xlextdat9 Adventure Works DW Adventure Works","[Product].[Product Categories].[Product Name].&amp;[363]")</f>
        <v>Mountain-200 Black, 46</v>
      </c>
      <c r="B64" s="1"/>
      <c r="C64" s="1" t="e">
        <f>CUBEMEMBERPROPERTY("xlextdat9 Adventure Works DW Adventure Works","[Product].[Product Categories].[Product Name].&amp;[363]","Color")</f>
        <v>#N/A</v>
      </c>
      <c r="D64" vm="552">
        <f t="shared" si="0"/>
        <v>1957528.2444999963</v>
      </c>
    </row>
    <row r="65" spans="1:4">
      <c r="A65" s="3" t="str" vm="328">
        <f>CUBEMEMBER("xlextdat9 Adventure Works DW Adventure Works","[Product].[Product Categories].[Product Name].&amp;[364]")</f>
        <v>Mountain-300 Black, 38</v>
      </c>
      <c r="B65" s="1"/>
      <c r="C65" s="1" t="e">
        <f>CUBEMEMBERPROPERTY("xlextdat9 Adventure Works DW Adventure Works","[Product].[Product Categories].[Product Name].&amp;[364]","Color")</f>
        <v>#N/A</v>
      </c>
      <c r="D65" vm="749">
        <f t="shared" si="0"/>
        <v>442477.08699999994</v>
      </c>
    </row>
    <row r="66" spans="1:4">
      <c r="A66" s="3" t="str" vm="327">
        <f>CUBEMEMBER("xlextdat9 Adventure Works DW Adventure Works","[Product].[Product Categories].[Product Name].&amp;[365]")</f>
        <v>Mountain-300 Black, 40</v>
      </c>
      <c r="B66" s="1"/>
      <c r="C66" s="1" t="e">
        <f>CUBEMEMBERPROPERTY("xlextdat9 Adventure Works DW Adventure Works","[Product].[Product Categories].[Product Name].&amp;[365]","Color")</f>
        <v>#N/A</v>
      </c>
      <c r="D66" vm="551">
        <f t="shared" ref="D66:D129" si="1">CUBEVALUE("xlextdat9 Adventure Works DW Adventure Works",$A66,D$1)</f>
        <v>501648.87509999995</v>
      </c>
    </row>
    <row r="67" spans="1:4">
      <c r="A67" s="3" t="str" vm="326">
        <f>CUBEMEMBER("xlextdat9 Adventure Works DW Adventure Works","[Product].[Product Categories].[Product Name].&amp;[366]")</f>
        <v>Mountain-300 Black, 44</v>
      </c>
      <c r="B67" s="1"/>
      <c r="C67" s="1" t="e">
        <f>CUBEMEMBERPROPERTY("xlextdat9 Adventure Works DW Adventure Works","[Product].[Product Categories].[Product Name].&amp;[366]","Color")</f>
        <v>#N/A</v>
      </c>
      <c r="D67" vm="748">
        <f t="shared" si="1"/>
        <v>484051.51799999998</v>
      </c>
    </row>
    <row r="68" spans="1:4">
      <c r="A68" s="3" t="str" vm="325">
        <f>CUBEMEMBER("xlextdat9 Adventure Works DW Adventure Works","[Product].[Product Categories].[Product Name].&amp;[367]")</f>
        <v>Mountain-300 Black, 48</v>
      </c>
      <c r="B68" s="1"/>
      <c r="C68" s="1" t="e">
        <f>CUBEMEMBERPROPERTY("xlextdat9 Adventure Works DW Adventure Works","[Product].[Product Categories].[Product Name].&amp;[367]","Color")</f>
        <v>#N/A</v>
      </c>
      <c r="D68" vm="550">
        <f t="shared" si="1"/>
        <v>479071.90010000014</v>
      </c>
    </row>
    <row r="69" spans="1:4">
      <c r="A69" s="3" t="str" vm="324">
        <f>CUBEMEMBER("xlextdat9 Adventure Works DW Adventure Works","[Product].[Product Categories].[Product Name].&amp;[587]")</f>
        <v>Mountain-400-W Silver, 38</v>
      </c>
      <c r="B69" s="1"/>
      <c r="C69" s="1" t="e">
        <f>CUBEMEMBERPROPERTY("xlextdat9 Adventure Works DW Adventure Works","[Product].[Product Categories].[Product Name].&amp;[587]","Color")</f>
        <v>#N/A</v>
      </c>
      <c r="D69" vm="747">
        <f t="shared" si="1"/>
        <v>241773.75800000067</v>
      </c>
    </row>
    <row r="70" spans="1:4">
      <c r="A70" s="3" t="str" vm="323">
        <f>CUBEMEMBER("xlextdat9 Adventure Works DW Adventure Works","[Product].[Product Categories].[Product Name].&amp;[588]")</f>
        <v>Mountain-400-W Silver, 40</v>
      </c>
      <c r="B70" s="1"/>
      <c r="C70" s="1" t="e">
        <f>CUBEMEMBERPROPERTY("xlextdat9 Adventure Works DW Adventure Works","[Product].[Product Categories].[Product Name].&amp;[588]","Color")</f>
        <v>#N/A</v>
      </c>
      <c r="D70" vm="549">
        <f t="shared" si="1"/>
        <v>323703.82069999957</v>
      </c>
    </row>
    <row r="71" spans="1:4">
      <c r="A71" s="3" t="str" vm="322">
        <f>CUBEMEMBER("xlextdat9 Adventure Works DW Adventure Works","[Product].[Product Categories].[Product Name].&amp;[589]")</f>
        <v>Mountain-400-W Silver, 42</v>
      </c>
      <c r="B71" s="1"/>
      <c r="C71" s="1" t="e">
        <f>CUBEMEMBERPROPERTY("xlextdat9 Adventure Works DW Adventure Works","[Product].[Product Categories].[Product Name].&amp;[589]","Color")</f>
        <v>#N/A</v>
      </c>
      <c r="D71" vm="746">
        <f t="shared" si="1"/>
        <v>217457.87400000053</v>
      </c>
    </row>
    <row r="72" spans="1:4">
      <c r="A72" s="3" t="str" vm="321">
        <f>CUBEMEMBER("xlextdat9 Adventure Works DW Adventure Works","[Product].[Product Categories].[Product Name].&amp;[590]")</f>
        <v>Mountain-400-W Silver, 46</v>
      </c>
      <c r="B72" s="1"/>
      <c r="C72" s="1" t="e">
        <f>CUBEMEMBERPROPERTY("xlextdat9 Adventure Works DW Adventure Works","[Product].[Product Categories].[Product Name].&amp;[590]","Color")</f>
        <v>#N/A</v>
      </c>
      <c r="D72" vm="548">
        <f t="shared" si="1"/>
        <v>227347.66730000058</v>
      </c>
    </row>
    <row r="73" spans="1:4">
      <c r="A73" s="3" t="str" vm="320">
        <f>CUBEMEMBER("xlextdat9 Adventure Works DW Adventure Works","[Product].[Product Categories].[Product Name].&amp;[591]")</f>
        <v>Mountain-500 Silver, 40</v>
      </c>
      <c r="B73" s="1"/>
      <c r="C73" s="1" t="e">
        <f>CUBEMEMBERPROPERTY("xlextdat9 Adventure Works DW Adventure Works","[Product].[Product Categories].[Product Name].&amp;[591]","Color")</f>
        <v>#N/A</v>
      </c>
      <c r="D73" vm="745">
        <f t="shared" si="1"/>
        <v>145089.43200000003</v>
      </c>
    </row>
    <row r="74" spans="1:4">
      <c r="A74" s="3" t="str" vm="319">
        <f>CUBEMEMBER("xlextdat9 Adventure Works DW Adventure Works","[Product].[Product Categories].[Product Name].&amp;[592]")</f>
        <v>Mountain-500 Silver, 42</v>
      </c>
      <c r="B74" s="1"/>
      <c r="C74" s="1" t="e">
        <f>CUBEMEMBERPROPERTY("xlextdat9 Adventure Works DW Adventure Works","[Product].[Product Categories].[Product Name].&amp;[592]","Color")</f>
        <v>#N/A</v>
      </c>
      <c r="D74" vm="547">
        <f t="shared" si="1"/>
        <v>141360.49800000002</v>
      </c>
    </row>
    <row r="75" spans="1:4">
      <c r="A75" s="3" t="str" vm="318">
        <f>CUBEMEMBER("xlextdat9 Adventure Works DW Adventure Works","[Product].[Product Categories].[Product Name].&amp;[593]")</f>
        <v>Mountain-500 Silver, 44</v>
      </c>
      <c r="B75" s="1"/>
      <c r="C75" s="1" t="e">
        <f>CUBEMEMBERPROPERTY("xlextdat9 Adventure Works DW Adventure Works","[Product].[Product Categories].[Product Name].&amp;[593]","Color")</f>
        <v>#N/A</v>
      </c>
      <c r="D75" vm="744">
        <f t="shared" si="1"/>
        <v>122512.43160000007</v>
      </c>
    </row>
    <row r="76" spans="1:4">
      <c r="A76" s="3" t="str" vm="317">
        <f>CUBEMEMBER("xlextdat9 Adventure Works DW Adventure Works","[Product].[Product Categories].[Product Name].&amp;[594]")</f>
        <v>Mountain-500 Silver, 48</v>
      </c>
      <c r="B76" s="1"/>
      <c r="C76" s="1" t="e">
        <f>CUBEMEMBERPROPERTY("xlextdat9 Adventure Works DW Adventure Works","[Product].[Product Categories].[Product Name].&amp;[594]","Color")</f>
        <v>#N/A</v>
      </c>
      <c r="D76" vm="546">
        <f t="shared" si="1"/>
        <v>142897.27080000006</v>
      </c>
    </row>
    <row r="77" spans="1:4">
      <c r="A77" s="3" t="str" vm="316">
        <f>CUBEMEMBER("xlextdat9 Adventure Works DW Adventure Works","[Product].[Product Categories].[Product Name].&amp;[595]")</f>
        <v>Mountain-500 Silver, 52</v>
      </c>
      <c r="B77" s="1"/>
      <c r="C77" s="1" t="e">
        <f>CUBEMEMBERPROPERTY("xlextdat9 Adventure Works DW Adventure Works","[Product].[Product Categories].[Product Name].&amp;[595]","Color")</f>
        <v>#N/A</v>
      </c>
      <c r="D77" vm="743">
        <f t="shared" si="1"/>
        <v>161293.3452000001</v>
      </c>
    </row>
    <row r="78" spans="1:4">
      <c r="A78" s="3" t="str" vm="315">
        <f>CUBEMEMBER("xlextdat9 Adventure Works DW Adventure Works","[Product].[Product Categories].[Product Name].&amp;[596]")</f>
        <v>Mountain-500 Black, 40</v>
      </c>
      <c r="B78" s="1"/>
      <c r="C78" s="1" t="e">
        <f>CUBEMEMBERPROPERTY("xlextdat9 Adventure Works DW Adventure Works","[Product].[Product Categories].[Product Name].&amp;[596]","Color")</f>
        <v>#N/A</v>
      </c>
      <c r="D78" vm="545">
        <f t="shared" si="1"/>
        <v>101734.11599999989</v>
      </c>
    </row>
    <row r="79" spans="1:4">
      <c r="A79" s="3" t="str" vm="314">
        <f>CUBEMEMBER("xlextdat9 Adventure Works DW Adventure Works","[Product].[Product Categories].[Product Name].&amp;[597]")</f>
        <v>Mountain-500 Black, 42</v>
      </c>
      <c r="B79" s="1"/>
      <c r="C79" s="1" t="e">
        <f>CUBEMEMBERPROPERTY("xlextdat9 Adventure Works DW Adventure Works","[Product].[Product Categories].[Product Name].&amp;[597]","Color")</f>
        <v>#N/A</v>
      </c>
      <c r="D79" vm="742">
        <f t="shared" si="1"/>
        <v>136293.47600000005</v>
      </c>
    </row>
    <row r="80" spans="1:4">
      <c r="A80" s="3" t="str" vm="313">
        <f>CUBEMEMBER("xlextdat9 Adventure Works DW Adventure Works","[Product].[Product Categories].[Product Name].&amp;[598]")</f>
        <v>Mountain-500 Black, 44</v>
      </c>
      <c r="B80" s="1"/>
      <c r="C80" s="1" t="e">
        <f>CUBEMEMBERPROPERTY("xlextdat9 Adventure Works DW Adventure Works","[Product].[Product Categories].[Product Name].&amp;[598]","Color")</f>
        <v>#N/A</v>
      </c>
      <c r="D80" vm="544">
        <f t="shared" si="1"/>
        <v>125925.66799999995</v>
      </c>
    </row>
    <row r="81" spans="1:4">
      <c r="A81" s="3" t="str" vm="312">
        <f>CUBEMEMBER("xlextdat9 Adventure Works DW Adventure Works","[Product].[Product Categories].[Product Name].&amp;[599]")</f>
        <v>Mountain-500 Black, 48</v>
      </c>
      <c r="B81" s="1"/>
      <c r="C81" s="1" t="e">
        <f>CUBEMEMBERPROPERTY("xlextdat9 Adventure Works DW Adventure Works","[Product].[Product Categories].[Product Name].&amp;[599]","Color")</f>
        <v>#N/A</v>
      </c>
      <c r="D81" vm="741">
        <f t="shared" si="1"/>
        <v>157569.08200000011</v>
      </c>
    </row>
    <row r="82" spans="1:4">
      <c r="A82" s="3" t="str" vm="311">
        <f>CUBEMEMBER("xlextdat9 Adventure Works DW Adventure Works","[Product].[Product Categories].[Product Name].&amp;[600]")</f>
        <v>Mountain-500 Black, 52</v>
      </c>
      <c r="B82" s="1"/>
      <c r="C82" s="1" t="e">
        <f>CUBEMEMBERPROPERTY("xlextdat9 Adventure Works DW Adventure Works","[Product].[Product Categories].[Product Name].&amp;[600]","Color")</f>
        <v>#N/A</v>
      </c>
      <c r="D82" vm="543">
        <f t="shared" si="1"/>
        <v>96982.203999999911</v>
      </c>
    </row>
    <row r="83" spans="1:4">
      <c r="A83" s="2" t="str" vm="310">
        <f>CUBEMEMBER("xlextdat9 Adventure Works DW Adventure Works","[Product].[Product Categories].[Subcategory].&amp;[2]")</f>
        <v>Road Bikes</v>
      </c>
      <c r="B83" s="1" t="e">
        <f>CUBEMEMBERPROPERTY("xlextdat9 Adventure Works DW Adventure Works","[Product].[Product Categories].[Subcategory].&amp;[2]","Category")</f>
        <v>#N/A</v>
      </c>
      <c r="D83" vm="740">
        <f t="shared" si="1"/>
        <v>43878790.997000113</v>
      </c>
    </row>
    <row r="84" spans="1:4">
      <c r="A84" s="3" t="str" vm="309">
        <f>CUBEMEMBER("xlextdat9 Adventure Works DW Adventure Works","[Product].[Product Categories].[Product Name].&amp;[310]")</f>
        <v>Road-150 Red, 62</v>
      </c>
      <c r="B84" s="1"/>
      <c r="C84" s="1" t="e">
        <f>CUBEMEMBERPROPERTY("xlextdat9 Adventure Works DW Adventure Works","[Product].[Product Categories].[Product Name].&amp;[310]","Color")</f>
        <v>#N/A</v>
      </c>
      <c r="D84" vm="542">
        <f t="shared" si="1"/>
        <v>1769096.6880000054</v>
      </c>
    </row>
    <row r="85" spans="1:4">
      <c r="A85" s="3" t="str" vm="308">
        <f>CUBEMEMBER("xlextdat9 Adventure Works DW Adventure Works","[Product].[Product Categories].[Product Name].&amp;[311]")</f>
        <v>Road-150 Red, 44</v>
      </c>
      <c r="B85" s="1"/>
      <c r="C85" s="1" t="e">
        <f>CUBEMEMBERPROPERTY("xlextdat9 Adventure Works DW Adventure Works","[Product].[Product Categories].[Product Name].&amp;[311]","Color")</f>
        <v>#N/A</v>
      </c>
      <c r="D85" vm="739">
        <f t="shared" si="1"/>
        <v>1340419.9420000031</v>
      </c>
    </row>
    <row r="86" spans="1:4">
      <c r="A86" s="3" t="str" vm="307">
        <f>CUBEMEMBER("xlextdat9 Adventure Works DW Adventure Works","[Product].[Product Categories].[Product Name].&amp;[312]")</f>
        <v>Road-150 Red, 48</v>
      </c>
      <c r="B86" s="1"/>
      <c r="C86" s="1" t="e">
        <f>CUBEMEMBERPROPERTY("xlextdat9 Adventure Works DW Adventure Works","[Product].[Product Categories].[Product Name].&amp;[312]","Color")</f>
        <v>#N/A</v>
      </c>
      <c r="D86" vm="541">
        <f t="shared" si="1"/>
        <v>1540803.0620000043</v>
      </c>
    </row>
    <row r="87" spans="1:4">
      <c r="A87" s="3" t="str" vm="306">
        <f>CUBEMEMBER("xlextdat9 Adventure Works DW Adventure Works","[Product].[Product Categories].[Product Name].&amp;[313]")</f>
        <v>Road-150 Red, 52</v>
      </c>
      <c r="B87" s="1"/>
      <c r="C87" s="1" t="e">
        <f>CUBEMEMBERPROPERTY("xlextdat9 Adventure Works DW Adventure Works","[Product].[Product Categories].[Product Name].&amp;[313]","Color")</f>
        <v>#N/A</v>
      </c>
      <c r="D87" vm="738">
        <f t="shared" si="1"/>
        <v>1415563.6120000032</v>
      </c>
    </row>
    <row r="88" spans="1:4">
      <c r="A88" s="3" t="str" vm="305">
        <f>CUBEMEMBER("xlextdat9 Adventure Works DW Adventure Works","[Product].[Product Categories].[Product Name].&amp;[314]")</f>
        <v>Road-150 Red, 56</v>
      </c>
      <c r="B88" s="1"/>
      <c r="C88" s="1" t="e">
        <f>CUBEMEMBERPROPERTY("xlextdat9 Adventure Works DW Adventure Works","[Product].[Product Categories].[Product Name].&amp;[314]","Color")</f>
        <v>#N/A</v>
      </c>
      <c r="D88" vm="540">
        <f t="shared" si="1"/>
        <v>1847818.6280000051</v>
      </c>
    </row>
    <row r="89" spans="1:4">
      <c r="A89" s="3" t="str" vm="304">
        <f>CUBEMEMBER("xlextdat9 Adventure Works DW Adventure Works","[Product].[Product Categories].[Product Name].&amp;[315]")</f>
        <v>Road-450 Red, 58</v>
      </c>
      <c r="B89" s="1"/>
      <c r="C89" s="1" t="e">
        <f>CUBEMEMBERPROPERTY("xlextdat9 Adventure Works DW Adventure Works","[Product].[Product Categories].[Product Name].&amp;[315]","Color")</f>
        <v>#N/A</v>
      </c>
      <c r="D89" vm="737">
        <f t="shared" si="1"/>
        <v>507978.29589999997</v>
      </c>
    </row>
    <row r="90" spans="1:4">
      <c r="A90" s="3" t="str" vm="303">
        <f>CUBEMEMBER("xlextdat9 Adventure Works DW Adventure Works","[Product].[Product Categories].[Product Name].&amp;[316]")</f>
        <v>Road-450 Red, 60</v>
      </c>
      <c r="B90" s="1"/>
      <c r="C90" s="1" t="e">
        <f>CUBEMEMBERPROPERTY("xlextdat9 Adventure Works DW Adventure Works","[Product].[Product Categories].[Product Name].&amp;[316]","Color")</f>
        <v>#N/A</v>
      </c>
      <c r="D90" vm="539">
        <f t="shared" si="1"/>
        <v>306177.90000000002</v>
      </c>
    </row>
    <row r="91" spans="1:4">
      <c r="A91" s="3" t="str" vm="302">
        <f>CUBEMEMBER("xlextdat9 Adventure Works DW Adventure Works","[Product].[Product Categories].[Product Name].&amp;[317]")</f>
        <v>Road-450 Red, 44</v>
      </c>
      <c r="B91" s="1"/>
      <c r="C91" s="1" t="e">
        <f>CUBEMEMBERPROPERTY("xlextdat9 Adventure Works DW Adventure Works","[Product].[Product Categories].[Product Name].&amp;[317]","Color")</f>
        <v>#N/A</v>
      </c>
      <c r="D91" vm="736">
        <f t="shared" si="1"/>
        <v>302678.72400000005</v>
      </c>
    </row>
    <row r="92" spans="1:4">
      <c r="A92" s="3" t="str" vm="301">
        <f>CUBEMEMBER("xlextdat9 Adventure Works DW Adventure Works","[Product].[Product Categories].[Product Name].&amp;[318]")</f>
        <v>Road-450 Red, 48</v>
      </c>
      <c r="B92" s="1"/>
      <c r="C92" s="1" t="e">
        <f>CUBEMEMBERPROPERTY("xlextdat9 Adventure Works DW Adventure Works","[Product].[Product Categories].[Product Name].&amp;[318]","Color")</f>
        <v>#N/A</v>
      </c>
      <c r="D92" vm="538">
        <f t="shared" si="1"/>
        <v>136467.86400000003</v>
      </c>
    </row>
    <row r="93" spans="1:4">
      <c r="A93" s="3" t="str" vm="300">
        <f>CUBEMEMBER("xlextdat9 Adventure Works DW Adventure Works","[Product].[Product Categories].[Product Name].&amp;[319]")</f>
        <v>Road-450 Red, 52</v>
      </c>
      <c r="B93" s="1"/>
      <c r="C93" s="1" t="e">
        <f>CUBEMEMBERPROPERTY("xlextdat9 Adventure Works DW Adventure Works","[Product].[Product Categories].[Product Name].&amp;[319]","Color")</f>
        <v>#N/A</v>
      </c>
      <c r="D93" vm="735">
        <f t="shared" si="1"/>
        <v>621103.74</v>
      </c>
    </row>
    <row r="94" spans="1:4">
      <c r="A94" s="3" t="str" vm="299">
        <f>CUBEMEMBER("xlextdat9 Adventure Works DW Adventure Works","[Product].[Product Categories].[Product Name].&amp;[320]")</f>
        <v>Road-650 Red, 58</v>
      </c>
      <c r="B94" s="1"/>
      <c r="C94" s="1" t="e">
        <f>CUBEMEMBERPROPERTY("xlextdat9 Adventure Works DW Adventure Works","[Product].[Product Categories].[Product Name].&amp;[320]","Color")</f>
        <v>#N/A</v>
      </c>
      <c r="D94" vm="537">
        <f t="shared" si="1"/>
        <v>79137.913100000005</v>
      </c>
    </row>
    <row r="95" spans="1:4">
      <c r="A95" s="3" t="str" vm="298">
        <f>CUBEMEMBER("xlextdat9 Adventure Works DW Adventure Works","[Product].[Product Categories].[Product Name].&amp;[321]")</f>
        <v>Road-650 Red, 58</v>
      </c>
      <c r="B95" s="1"/>
      <c r="C95" s="1" t="e">
        <f>CUBEMEMBERPROPERTY("xlextdat9 Adventure Works DW Adventure Works","[Product].[Product Categories].[Product Name].&amp;[321]","Color")</f>
        <v>#N/A</v>
      </c>
      <c r="D95" vm="734">
        <f t="shared" si="1"/>
        <v>224874.72800000026</v>
      </c>
    </row>
    <row r="96" spans="1:4">
      <c r="A96" s="3" t="str" vm="297">
        <f>CUBEMEMBER("xlextdat9 Adventure Works DW Adventure Works","[Product].[Product Categories].[Product Name].&amp;[322]")</f>
        <v>Road-650 Red, 60</v>
      </c>
      <c r="B96" s="1"/>
      <c r="C96" s="1" t="e">
        <f>CUBEMEMBERPROPERTY("xlextdat9 Adventure Works DW Adventure Works","[Product].[Product Categories].[Product Name].&amp;[322]","Color")</f>
        <v>#N/A</v>
      </c>
      <c r="D96" vm="536">
        <f t="shared" si="1"/>
        <v>306940.72920000006</v>
      </c>
    </row>
    <row r="97" spans="1:4">
      <c r="A97" s="3" t="str" vm="296">
        <f>CUBEMEMBER("xlextdat9 Adventure Works DW Adventure Works","[Product].[Product Categories].[Product Name].&amp;[323]")</f>
        <v>Road-650 Red, 60</v>
      </c>
      <c r="B97" s="1"/>
      <c r="C97" s="1" t="e">
        <f>CUBEMEMBERPROPERTY("xlextdat9 Adventure Works DW Adventure Works","[Product].[Product Categories].[Product Name].&amp;[323]","Color")</f>
        <v>#N/A</v>
      </c>
      <c r="D97" vm="733">
        <f t="shared" si="1"/>
        <v>703387.00859999983</v>
      </c>
    </row>
    <row r="98" spans="1:4">
      <c r="A98" s="3" t="str" vm="295">
        <f>CUBEMEMBER("xlextdat9 Adventure Works DW Adventure Works","[Product].[Product Categories].[Product Name].&amp;[324]")</f>
        <v>Road-650 Red, 62</v>
      </c>
      <c r="B98" s="1"/>
      <c r="C98" s="1" t="e">
        <f>CUBEMEMBERPROPERTY("xlextdat9 Adventure Works DW Adventure Works","[Product].[Product Categories].[Product Name].&amp;[324]","Color")</f>
        <v>#N/A</v>
      </c>
      <c r="D98" vm="535">
        <f t="shared" si="1"/>
        <v>252374.4387</v>
      </c>
    </row>
    <row r="99" spans="1:4">
      <c r="A99" s="3" t="str" vm="294">
        <f>CUBEMEMBER("xlextdat9 Adventure Works DW Adventure Works","[Product].[Product Categories].[Product Name].&amp;[325]")</f>
        <v>Road-650 Red, 62</v>
      </c>
      <c r="B99" s="1"/>
      <c r="C99" s="1" t="e">
        <f>CUBEMEMBERPROPERTY("xlextdat9 Adventure Works DW Adventure Works","[Product].[Product Categories].[Product Name].&amp;[325]","Color")</f>
        <v>#N/A</v>
      </c>
      <c r="D99" vm="732">
        <f t="shared" si="1"/>
        <v>621815.97159999958</v>
      </c>
    </row>
    <row r="100" spans="1:4">
      <c r="A100" s="3" t="str" vm="293">
        <f>CUBEMEMBER("xlextdat9 Adventure Works DW Adventure Works","[Product].[Product Categories].[Product Name].&amp;[326]")</f>
        <v>Road-650 Red, 44</v>
      </c>
      <c r="B100" s="1"/>
      <c r="C100" s="1" t="e">
        <f>CUBEMEMBERPROPERTY("xlextdat9 Adventure Works DW Adventure Works","[Product].[Product Categories].[Product Name].&amp;[326]","Color")</f>
        <v>#N/A</v>
      </c>
      <c r="D100" vm="534">
        <f t="shared" si="1"/>
        <v>311098.68490000017</v>
      </c>
    </row>
    <row r="101" spans="1:4">
      <c r="A101" s="3" t="str" vm="292">
        <f>CUBEMEMBER("xlextdat9 Adventure Works DW Adventure Works","[Product].[Product Categories].[Product Name].&amp;[327]")</f>
        <v>Road-650 Red, 44</v>
      </c>
      <c r="B101" s="1"/>
      <c r="C101" s="1" t="e">
        <f>CUBEMEMBERPROPERTY("xlextdat9 Adventure Works DW Adventure Works","[Product].[Product Categories].[Product Name].&amp;[327]","Color")</f>
        <v>#N/A</v>
      </c>
      <c r="D101" vm="731">
        <f t="shared" si="1"/>
        <v>626604.34689999965</v>
      </c>
    </row>
    <row r="102" spans="1:4">
      <c r="A102" s="3" t="str" vm="291">
        <f>CUBEMEMBER("xlextdat9 Adventure Works DW Adventure Works","[Product].[Product Categories].[Product Name].&amp;[328]")</f>
        <v>Road-650 Red, 48</v>
      </c>
      <c r="B102" s="1"/>
      <c r="C102" s="1" t="e">
        <f>CUBEMEMBERPROPERTY("xlextdat9 Adventure Works DW Adventure Works","[Product].[Product Categories].[Product Name].&amp;[328]","Color")</f>
        <v>#N/A</v>
      </c>
      <c r="D102" vm="533">
        <f t="shared" si="1"/>
        <v>253492.99609999996</v>
      </c>
    </row>
    <row r="103" spans="1:4">
      <c r="A103" s="3" t="str" vm="290">
        <f>CUBEMEMBER("xlextdat9 Adventure Works DW Adventure Works","[Product].[Product Categories].[Product Name].&amp;[329]")</f>
        <v>Road-650 Red, 48</v>
      </c>
      <c r="B103" s="1"/>
      <c r="C103" s="1" t="e">
        <f>CUBEMEMBERPROPERTY("xlextdat9 Adventure Works DW Adventure Works","[Product].[Product Categories].[Product Name].&amp;[329]","Color")</f>
        <v>#N/A</v>
      </c>
      <c r="D103" vm="730">
        <f t="shared" si="1"/>
        <v>624046.16199999931</v>
      </c>
    </row>
    <row r="104" spans="1:4">
      <c r="A104" s="3" t="str" vm="289">
        <f>CUBEMEMBER("xlextdat9 Adventure Works DW Adventure Works","[Product].[Product Categories].[Product Name].&amp;[330]")</f>
        <v>Road-650 Red, 52</v>
      </c>
      <c r="B104" s="1"/>
      <c r="C104" s="1" t="e">
        <f>CUBEMEMBERPROPERTY("xlextdat9 Adventure Works DW Adventure Works","[Product].[Product Categories].[Product Name].&amp;[330]","Color")</f>
        <v>#N/A</v>
      </c>
      <c r="D104" vm="532">
        <f t="shared" si="1"/>
        <v>149047.72979999991</v>
      </c>
    </row>
    <row r="105" spans="1:4">
      <c r="A105" s="3" t="str" vm="288">
        <f>CUBEMEMBER("xlextdat9 Adventure Works DW Adventure Works","[Product].[Product Categories].[Product Name].&amp;[331]")</f>
        <v>Road-650 Red, 52</v>
      </c>
      <c r="B105" s="1"/>
      <c r="C105" s="1" t="e">
        <f>CUBEMEMBERPROPERTY("xlextdat9 Adventure Works DW Adventure Works","[Product].[Product Categories].[Product Name].&amp;[331]","Color")</f>
        <v>#N/A</v>
      </c>
      <c r="D105" vm="729">
        <f t="shared" si="1"/>
        <v>374582.41599999956</v>
      </c>
    </row>
    <row r="106" spans="1:4">
      <c r="A106" s="3" t="str" vm="287">
        <f>CUBEMEMBER("xlextdat9 Adventure Works DW Adventure Works","[Product].[Product Categories].[Product Name].&amp;[332]")</f>
        <v>Road-650 Black, 58</v>
      </c>
      <c r="B106" s="1"/>
      <c r="C106" s="1" t="e">
        <f>CUBEMEMBERPROPERTY("xlextdat9 Adventure Works DW Adventure Works","[Product].[Product Categories].[Product Name].&amp;[332]","Color")</f>
        <v>#N/A</v>
      </c>
      <c r="D106" vm="531">
        <f t="shared" si="1"/>
        <v>247480.75159999984</v>
      </c>
    </row>
    <row r="107" spans="1:4">
      <c r="A107" s="3" t="str" vm="286">
        <f>CUBEMEMBER("xlextdat9 Adventure Works DW Adventure Works","[Product].[Product Categories].[Product Name].&amp;[333]")</f>
        <v>Road-650 Black, 58</v>
      </c>
      <c r="B107" s="1"/>
      <c r="C107" s="1" t="e">
        <f>CUBEMEMBERPROPERTY("xlextdat9 Adventure Works DW Adventure Works","[Product].[Product Categories].[Product Name].&amp;[333]","Color")</f>
        <v>#N/A</v>
      </c>
      <c r="D107" vm="728">
        <f t="shared" si="1"/>
        <v>618769.51409999945</v>
      </c>
    </row>
    <row r="108" spans="1:4">
      <c r="A108" s="3" t="str" vm="285">
        <f>CUBEMEMBER("xlextdat9 Adventure Works DW Adventure Works","[Product].[Product Categories].[Product Name].&amp;[334]")</f>
        <v>Road-650 Black, 60</v>
      </c>
      <c r="B108" s="1"/>
      <c r="C108" s="1" t="e">
        <f>CUBEMEMBERPROPERTY("xlextdat9 Adventure Works DW Adventure Works","[Product].[Product Categories].[Product Name].&amp;[334]","Color")</f>
        <v>#N/A</v>
      </c>
      <c r="D108" vm="530">
        <f t="shared" si="1"/>
        <v>153382.13869999989</v>
      </c>
    </row>
    <row r="109" spans="1:4">
      <c r="A109" s="3" t="str" vm="284">
        <f>CUBEMEMBER("xlextdat9 Adventure Works DW Adventure Works","[Product].[Product Categories].[Product Name].&amp;[335]")</f>
        <v>Road-650 Black, 60</v>
      </c>
      <c r="B109" s="1"/>
      <c r="C109" s="1" t="e">
        <f>CUBEMEMBERPROPERTY("xlextdat9 Adventure Works DW Adventure Works","[Product].[Product Categories].[Product Name].&amp;[335]","Color")</f>
        <v>#N/A</v>
      </c>
      <c r="D109" vm="727">
        <f t="shared" si="1"/>
        <v>368516.12269999948</v>
      </c>
    </row>
    <row r="110" spans="1:4">
      <c r="A110" s="3" t="str" vm="283">
        <f>CUBEMEMBER("xlextdat9 Adventure Works DW Adventure Works","[Product].[Product Categories].[Product Name].&amp;[336]")</f>
        <v>Road-650 Black, 62</v>
      </c>
      <c r="B110" s="1"/>
      <c r="C110" s="1" t="e">
        <f>CUBEMEMBERPROPERTY("xlextdat9 Adventure Works DW Adventure Works","[Product].[Product Categories].[Product Name].&amp;[336]","Color")</f>
        <v>#N/A</v>
      </c>
      <c r="D110" vm="529">
        <f t="shared" si="1"/>
        <v>88785.467900000018</v>
      </c>
    </row>
    <row r="111" spans="1:4">
      <c r="A111" s="3" t="str" vm="282">
        <f>CUBEMEMBER("xlextdat9 Adventure Works DW Adventure Works","[Product].[Product Categories].[Product Name].&amp;[337]")</f>
        <v>Road-650 Black, 62</v>
      </c>
      <c r="B111" s="1"/>
      <c r="C111" s="1" t="e">
        <f>CUBEMEMBERPROPERTY("xlextdat9 Adventure Works DW Adventure Works","[Product].[Product Categories].[Product Name].&amp;[337]","Color")</f>
        <v>#N/A</v>
      </c>
      <c r="D111" vm="726">
        <f t="shared" si="1"/>
        <v>223465.34600000022</v>
      </c>
    </row>
    <row r="112" spans="1:4">
      <c r="A112" s="3" t="str" vm="281">
        <f>CUBEMEMBER("xlextdat9 Adventure Works DW Adventure Works","[Product].[Product Categories].[Product Name].&amp;[338]")</f>
        <v>Road-650 Black, 44</v>
      </c>
      <c r="B112" s="1"/>
      <c r="C112" s="1" t="e">
        <f>CUBEMEMBERPROPERTY("xlextdat9 Adventure Works DW Adventure Works","[Product].[Product Categories].[Product Name].&amp;[338]","Color")</f>
        <v>#N/A</v>
      </c>
      <c r="D112" vm="528">
        <f t="shared" si="1"/>
        <v>146391.15679999994</v>
      </c>
    </row>
    <row r="113" spans="1:4">
      <c r="A113" s="3" t="str" vm="280">
        <f>CUBEMEMBER("xlextdat9 Adventure Works DW Adventure Works","[Product].[Product Categories].[Product Name].&amp;[339]")</f>
        <v>Road-650 Black, 44</v>
      </c>
      <c r="B113" s="1"/>
      <c r="C113" s="1" t="e">
        <f>CUBEMEMBERPROPERTY("xlextdat9 Adventure Works DW Adventure Works","[Product].[Product Categories].[Product Name].&amp;[339]","Color")</f>
        <v>#N/A</v>
      </c>
      <c r="D113" vm="725">
        <f t="shared" si="1"/>
        <v>362853.85219999967</v>
      </c>
    </row>
    <row r="114" spans="1:4">
      <c r="A114" s="3" t="str" vm="279">
        <f>CUBEMEMBER("xlextdat9 Adventure Works DW Adventure Works","[Product].[Product Categories].[Product Name].&amp;[340]")</f>
        <v>Road-650 Black, 48</v>
      </c>
      <c r="B114" s="1"/>
      <c r="C114" s="1" t="e">
        <f>CUBEMEMBERPROPERTY("xlextdat9 Adventure Works DW Adventure Works","[Product].[Product Categories].[Product Name].&amp;[340]","Color")</f>
        <v>#N/A</v>
      </c>
      <c r="D114" vm="527">
        <f t="shared" si="1"/>
        <v>87387.271399999998</v>
      </c>
    </row>
    <row r="115" spans="1:4">
      <c r="A115" s="3" t="str" vm="278">
        <f>CUBEMEMBER("xlextdat9 Adventure Works DW Adventure Works","[Product].[Product Categories].[Product Name].&amp;[341]")</f>
        <v>Road-650 Black, 48</v>
      </c>
      <c r="B115" s="1"/>
      <c r="C115" s="1" t="e">
        <f>CUBEMEMBERPROPERTY("xlextdat9 Adventure Works DW Adventure Works","[Product].[Product Categories].[Product Name].&amp;[341]","Color")</f>
        <v>#N/A</v>
      </c>
      <c r="D115" vm="724">
        <f t="shared" si="1"/>
        <v>222995.55200000026</v>
      </c>
    </row>
    <row r="116" spans="1:4">
      <c r="A116" s="3" t="str" vm="277">
        <f>CUBEMEMBER("xlextdat9 Adventure Works DW Adventure Works","[Product].[Product Categories].[Product Name].&amp;[342]")</f>
        <v>Road-650 Black, 52</v>
      </c>
      <c r="B116" s="1"/>
      <c r="C116" s="1" t="e">
        <f>CUBEMEMBERPROPERTY("xlextdat9 Adventure Works DW Adventure Works","[Product].[Product Categories].[Product Name].&amp;[342]","Color")</f>
        <v>#N/A</v>
      </c>
      <c r="D116" vm="526">
        <f t="shared" si="1"/>
        <v>316911.27110000025</v>
      </c>
    </row>
    <row r="117" spans="1:4">
      <c r="A117" s="3" t="str" vm="276">
        <f>CUBEMEMBER("xlextdat9 Adventure Works DW Adventure Works","[Product].[Product Categories].[Product Name].&amp;[343]")</f>
        <v>Road-650 Black, 52</v>
      </c>
      <c r="B117" s="1"/>
      <c r="C117" s="1" t="e">
        <f>CUBEMEMBERPROPERTY("xlextdat9 Adventure Works DW Adventure Works","[Product].[Product Categories].[Product Name].&amp;[343]","Color")</f>
        <v>#N/A</v>
      </c>
      <c r="D117" vm="723">
        <f t="shared" si="1"/>
        <v>723179.74309999938</v>
      </c>
    </row>
    <row r="118" spans="1:4">
      <c r="A118" s="3" t="str" vm="275">
        <f>CUBEMEMBER("xlextdat9 Adventure Works DW Adventure Works","[Product].[Product Categories].[Product Name].&amp;[368]")</f>
        <v>Road-250 Red, 44</v>
      </c>
      <c r="B118" s="1"/>
      <c r="C118" s="1" t="e">
        <f>CUBEMEMBERPROPERTY("xlextdat9 Adventure Works DW Adventure Works","[Product].[Product Categories].[Product Name].&amp;[368]","Color")</f>
        <v>#N/A</v>
      </c>
      <c r="D118" vm="525">
        <f t="shared" si="1"/>
        <v>1448122.4789999966</v>
      </c>
    </row>
    <row r="119" spans="1:4">
      <c r="A119" s="3" t="str" vm="274">
        <f>CUBEMEMBER("xlextdat9 Adventure Works DW Adventure Works","[Product].[Product Categories].[Product Name].&amp;[369]")</f>
        <v>Road-250 Red, 48</v>
      </c>
      <c r="B119" s="1"/>
      <c r="C119" s="1" t="e">
        <f>CUBEMEMBERPROPERTY("xlextdat9 Adventure Works DW Adventure Works","[Product].[Product Categories].[Product Name].&amp;[369]","Color")</f>
        <v>#N/A</v>
      </c>
      <c r="D119" vm="722">
        <f t="shared" si="1"/>
        <v>1343481.8614999964</v>
      </c>
    </row>
    <row r="120" spans="1:4">
      <c r="A120" s="3" t="str" vm="273">
        <f>CUBEMEMBER("xlextdat9 Adventure Works DW Adventure Works","[Product].[Product Categories].[Product Name].&amp;[370]")</f>
        <v>Road-250 Red, 52</v>
      </c>
      <c r="B120" s="1"/>
      <c r="C120" s="1" t="e">
        <f>CUBEMEMBERPROPERTY("xlextdat9 Adventure Works DW Adventure Works","[Product].[Product Categories].[Product Name].&amp;[370]","Color")</f>
        <v>#N/A</v>
      </c>
      <c r="D120" vm="524">
        <f t="shared" si="1"/>
        <v>1066766.6099999971</v>
      </c>
    </row>
    <row r="121" spans="1:4">
      <c r="A121" s="3" t="str" vm="272">
        <f>CUBEMEMBER("xlextdat9 Adventure Works DW Adventure Works","[Product].[Product Categories].[Product Name].&amp;[371]")</f>
        <v>Road-250 Red, 58</v>
      </c>
      <c r="B121" s="1"/>
      <c r="C121" s="1" t="e">
        <f>CUBEMEMBERPROPERTY("xlextdat9 Adventure Works DW Adventure Works","[Product].[Product Categories].[Product Name].&amp;[371]","Color")</f>
        <v>#N/A</v>
      </c>
      <c r="D121" vm="721">
        <f t="shared" si="1"/>
        <v>824194.3125</v>
      </c>
    </row>
    <row r="122" spans="1:4">
      <c r="A122" s="3" t="str" vm="271">
        <f>CUBEMEMBER("xlextdat9 Adventure Works DW Adventure Works","[Product].[Product Categories].[Product Name].&amp;[372]")</f>
        <v>Road-250 Red, 58</v>
      </c>
      <c r="B122" s="1"/>
      <c r="C122" s="1" t="e">
        <f>CUBEMEMBERPROPERTY("xlextdat9 Adventure Works DW Adventure Works","[Product].[Product Categories].[Product Name].&amp;[372]","Color")</f>
        <v>#N/A</v>
      </c>
      <c r="D122" vm="523">
        <f t="shared" si="1"/>
        <v>762813.86999999825</v>
      </c>
    </row>
    <row r="123" spans="1:4">
      <c r="A123" s="3" t="str" vm="270">
        <f>CUBEMEMBER("xlextdat9 Adventure Works DW Adventure Works","[Product].[Product Categories].[Product Name].&amp;[373]")</f>
        <v>Road-250 Black, 44</v>
      </c>
      <c r="B123" s="1"/>
      <c r="C123" s="1" t="e">
        <f>CUBEMEMBERPROPERTY("xlextdat9 Adventure Works DW Adventure Works","[Product].[Product Categories].[Product Name].&amp;[373]","Color")</f>
        <v>#N/A</v>
      </c>
      <c r="D123" vm="720">
        <f t="shared" si="1"/>
        <v>1256577.3848999999</v>
      </c>
    </row>
    <row r="124" spans="1:4">
      <c r="A124" s="3" t="str" vm="269">
        <f>CUBEMEMBER("xlextdat9 Adventure Works DW Adventure Works","[Product].[Product Categories].[Product Name].&amp;[374]")</f>
        <v>Road-250 Black, 44</v>
      </c>
      <c r="B124" s="1"/>
      <c r="C124" s="1" t="e">
        <f>CUBEMEMBERPROPERTY("xlextdat9 Adventure Works DW Adventure Works","[Product].[Product Categories].[Product Name].&amp;[374]","Color")</f>
        <v>#N/A</v>
      </c>
      <c r="D124" vm="522">
        <f t="shared" si="1"/>
        <v>1260279.9299999969</v>
      </c>
    </row>
    <row r="125" spans="1:4">
      <c r="A125" s="3" t="str" vm="268">
        <f>CUBEMEMBER("xlextdat9 Adventure Works DW Adventure Works","[Product].[Product Categories].[Product Name].&amp;[375]")</f>
        <v>Road-250 Black, 48</v>
      </c>
      <c r="B125" s="1"/>
      <c r="C125" s="1" t="e">
        <f>CUBEMEMBERPROPERTY("xlextdat9 Adventure Works DW Adventure Works","[Product].[Product Categories].[Product Name].&amp;[375]","Color")</f>
        <v>#N/A</v>
      </c>
      <c r="D125" vm="719">
        <f t="shared" si="1"/>
        <v>1149797.7519</v>
      </c>
    </row>
    <row r="126" spans="1:4">
      <c r="A126" s="3" t="str" vm="267">
        <f>CUBEMEMBER("xlextdat9 Adventure Works DW Adventure Works","[Product].[Product Categories].[Product Name].&amp;[376]")</f>
        <v>Road-250 Black, 48</v>
      </c>
      <c r="B126" s="1"/>
      <c r="C126" s="1" t="e">
        <f>CUBEMEMBERPROPERTY("xlextdat9 Adventure Works DW Adventure Works","[Product].[Product Categories].[Product Name].&amp;[376]","Color")</f>
        <v>#N/A</v>
      </c>
      <c r="D126" vm="521">
        <f t="shared" si="1"/>
        <v>1197858.2014999967</v>
      </c>
    </row>
    <row r="127" spans="1:4">
      <c r="A127" s="3" t="str" vm="266">
        <f>CUBEMEMBER("xlextdat9 Adventure Works DW Adventure Works","[Product].[Product Categories].[Product Name].&amp;[377]")</f>
        <v>Road-250 Black, 52</v>
      </c>
      <c r="B127" s="1"/>
      <c r="C127" s="1" t="e">
        <f>CUBEMEMBERPROPERTY("xlextdat9 Adventure Works DW Adventure Works","[Product].[Product Categories].[Product Name].&amp;[377]","Color")</f>
        <v>#N/A</v>
      </c>
      <c r="D127" vm="718">
        <f t="shared" si="1"/>
        <v>1037551.125</v>
      </c>
    </row>
    <row r="128" spans="1:4">
      <c r="A128" s="3" t="str" vm="265">
        <f>CUBEMEMBER("xlextdat9 Adventure Works DW Adventure Works","[Product].[Product Categories].[Product Name].&amp;[378]")</f>
        <v>Road-250 Black, 52</v>
      </c>
      <c r="B128" s="1"/>
      <c r="C128" s="1" t="e">
        <f>CUBEMEMBERPROPERTY("xlextdat9 Adventure Works DW Adventure Works","[Product].[Product Categories].[Product Name].&amp;[378]","Color")</f>
        <v>#N/A</v>
      </c>
      <c r="D128" vm="520">
        <f t="shared" si="1"/>
        <v>974896.649999997</v>
      </c>
    </row>
    <row r="129" spans="1:4">
      <c r="A129" s="3" t="str" vm="264">
        <f>CUBEMEMBER("xlextdat9 Adventure Works DW Adventure Works","[Product].[Product Categories].[Product Name].&amp;[379]")</f>
        <v>Road-250 Black, 58</v>
      </c>
      <c r="B129" s="1"/>
      <c r="C129" s="1" t="e">
        <f>CUBEMEMBERPROPERTY("xlextdat9 Adventure Works DW Adventure Works","[Product].[Product Categories].[Product Name].&amp;[379]","Color")</f>
        <v>#N/A</v>
      </c>
      <c r="D129" vm="717">
        <f t="shared" si="1"/>
        <v>763110.5625</v>
      </c>
    </row>
    <row r="130" spans="1:4">
      <c r="A130" s="3" t="str" vm="263">
        <f>CUBEMEMBER("xlextdat9 Adventure Works DW Adventure Works","[Product].[Product Categories].[Product Name].&amp;[380]")</f>
        <v>Road-250 Black, 58</v>
      </c>
      <c r="B130" s="1"/>
      <c r="C130" s="1" t="e">
        <f>CUBEMEMBERPROPERTY("xlextdat9 Adventure Works DW Adventure Works","[Product].[Product Categories].[Product Name].&amp;[380]","Color")</f>
        <v>#N/A</v>
      </c>
      <c r="D130" vm="519">
        <f t="shared" ref="D130:D193" si="2">CUBEVALUE("xlextdat9 Adventure Works DW Adventure Works",$A130,D$1)</f>
        <v>743267.06999999844</v>
      </c>
    </row>
    <row r="131" spans="1:4">
      <c r="A131" s="3" t="str" vm="262">
        <f>CUBEMEMBER("xlextdat9 Adventure Works DW Adventure Works","[Product].[Product Categories].[Product Name].&amp;[381]")</f>
        <v>Road-550-W Yellow, 38</v>
      </c>
      <c r="B131" s="1"/>
      <c r="C131" s="1" t="e">
        <f>CUBEMEMBERPROPERTY("xlextdat9 Adventure Works DW Adventure Works","[Product].[Product Categories].[Product Name].&amp;[381]","Color")</f>
        <v>#N/A</v>
      </c>
      <c r="D131" vm="716">
        <f t="shared" si="2"/>
        <v>535907.55820000009</v>
      </c>
    </row>
    <row r="132" spans="1:4">
      <c r="A132" s="3" t="str" vm="261">
        <f>CUBEMEMBER("xlextdat9 Adventure Works DW Adventure Works","[Product].[Product Categories].[Product Name].&amp;[382]")</f>
        <v>Road-550-W Yellow, 38</v>
      </c>
      <c r="B132" s="1"/>
      <c r="C132" s="1" t="e">
        <f>CUBEMEMBERPROPERTY("xlextdat9 Adventure Works DW Adventure Works","[Product].[Product Categories].[Product Name].&amp;[382]","Color")</f>
        <v>#N/A</v>
      </c>
      <c r="D132" vm="518">
        <f t="shared" si="2"/>
        <v>692002.52269999823</v>
      </c>
    </row>
    <row r="133" spans="1:4">
      <c r="A133" s="3" t="str" vm="260">
        <f>CUBEMEMBER("xlextdat9 Adventure Works DW Adventure Works","[Product].[Product Categories].[Product Name].&amp;[383]")</f>
        <v>Road-550-W Yellow, 40</v>
      </c>
      <c r="B133" s="1"/>
      <c r="C133" s="1" t="e">
        <f>CUBEMEMBERPROPERTY("xlextdat9 Adventure Works DW Adventure Works","[Product].[Product Categories].[Product Name].&amp;[383]","Color")</f>
        <v>#N/A</v>
      </c>
      <c r="D133" vm="715">
        <f t="shared" si="2"/>
        <v>466203.87499999994</v>
      </c>
    </row>
    <row r="134" spans="1:4">
      <c r="A134" s="3" t="str" vm="259">
        <f>CUBEMEMBER("xlextdat9 Adventure Works DW Adventure Works","[Product].[Product Categories].[Product Name].&amp;[384]")</f>
        <v>Road-550-W Yellow, 40</v>
      </c>
      <c r="B134" s="1"/>
      <c r="C134" s="1" t="e">
        <f>CUBEMEMBERPROPERTY("xlextdat9 Adventure Works DW Adventure Works","[Product].[Product Categories].[Product Name].&amp;[384]","Color")</f>
        <v>#N/A</v>
      </c>
      <c r="D134" vm="517">
        <f t="shared" si="2"/>
        <v>605087.90619999822</v>
      </c>
    </row>
    <row r="135" spans="1:4">
      <c r="A135" s="3" t="str" vm="258">
        <f>CUBEMEMBER("xlextdat9 Adventure Works DW Adventure Works","[Product].[Product Categories].[Product Name].&amp;[385]")</f>
        <v>Road-550-W Yellow, 42</v>
      </c>
      <c r="B135" s="1"/>
      <c r="C135" s="1" t="e">
        <f>CUBEMEMBERPROPERTY("xlextdat9 Adventure Works DW Adventure Works","[Product].[Product Categories].[Product Name].&amp;[385]","Color")</f>
        <v>#N/A</v>
      </c>
      <c r="D135" vm="714">
        <f t="shared" si="2"/>
        <v>373363.27500000002</v>
      </c>
    </row>
    <row r="136" spans="1:4">
      <c r="A136" s="3" t="str" vm="257">
        <f>CUBEMEMBER("xlextdat9 Adventure Works DW Adventure Works","[Product].[Product Categories].[Product Name].&amp;[386]")</f>
        <v>Road-550-W Yellow, 42</v>
      </c>
      <c r="B136" s="1"/>
      <c r="C136" s="1" t="e">
        <f>CUBEMEMBERPROPERTY("xlextdat9 Adventure Works DW Adventure Works","[Product].[Product Categories].[Product Name].&amp;[386]","Color")</f>
        <v>#N/A</v>
      </c>
      <c r="D136" vm="516">
        <f t="shared" si="2"/>
        <v>558676.31399999815</v>
      </c>
    </row>
    <row r="137" spans="1:4">
      <c r="A137" s="3" t="str" vm="256">
        <f>CUBEMEMBER("xlextdat9 Adventure Works DW Adventure Works","[Product].[Product Categories].[Product Name].&amp;[387]")</f>
        <v>Road-550-W Yellow, 44</v>
      </c>
      <c r="B137" s="1"/>
      <c r="C137" s="1" t="e">
        <f>CUBEMEMBERPROPERTY("xlextdat9 Adventure Works DW Adventure Works","[Product].[Product Categories].[Product Name].&amp;[387]","Color")</f>
        <v>#N/A</v>
      </c>
      <c r="D137" vm="713">
        <f t="shared" si="2"/>
        <v>283523.98750000005</v>
      </c>
    </row>
    <row r="138" spans="1:4">
      <c r="A138" s="3" t="str" vm="255">
        <f>CUBEMEMBER("xlextdat9 Adventure Works DW Adventure Works","[Product].[Product Categories].[Product Name].&amp;[388]")</f>
        <v>Road-550-W Yellow, 44</v>
      </c>
      <c r="B138" s="1"/>
      <c r="C138" s="1" t="e">
        <f>CUBEMEMBERPROPERTY("xlextdat9 Adventure Works DW Adventure Works","[Product].[Product Categories].[Product Name].&amp;[388]","Color")</f>
        <v>#N/A</v>
      </c>
      <c r="D138" vm="515">
        <f t="shared" si="2"/>
        <v>434301.92399999907</v>
      </c>
    </row>
    <row r="139" spans="1:4">
      <c r="A139" s="3" t="str" vm="254">
        <f>CUBEMEMBER("xlextdat9 Adventure Works DW Adventure Works","[Product].[Product Categories].[Product Name].&amp;[389]")</f>
        <v>Road-550-W Yellow, 48</v>
      </c>
      <c r="B139" s="1"/>
      <c r="C139" s="1" t="e">
        <f>CUBEMEMBERPROPERTY("xlextdat9 Adventure Works DW Adventure Works","[Product].[Product Categories].[Product Name].&amp;[389]","Color")</f>
        <v>#N/A</v>
      </c>
      <c r="D139" vm="712">
        <f t="shared" si="2"/>
        <v>536593.85859999992</v>
      </c>
    </row>
    <row r="140" spans="1:4">
      <c r="A140" s="3" t="str" vm="253">
        <f>CUBEMEMBER("xlextdat9 Adventure Works DW Adventure Works","[Product].[Product Categories].[Product Name].&amp;[390]")</f>
        <v>Road-550-W Yellow, 48</v>
      </c>
      <c r="B140" s="1"/>
      <c r="C140" s="1" t="e">
        <f>CUBEMEMBERPROPERTY("xlextdat9 Adventure Works DW Adventure Works","[Product].[Product Categories].[Product Name].&amp;[390]","Color")</f>
        <v>#N/A</v>
      </c>
      <c r="D140" vm="514">
        <f t="shared" si="2"/>
        <v>697345.01909999829</v>
      </c>
    </row>
    <row r="141" spans="1:4">
      <c r="A141" s="3" t="str" vm="252">
        <f>CUBEMEMBER("xlextdat9 Adventure Works DW Adventure Works","[Product].[Product Categories].[Product Name].&amp;[580]")</f>
        <v>Road-350-W Yellow, 40</v>
      </c>
      <c r="B141" s="1"/>
      <c r="C141" s="1" t="e">
        <f>CUBEMEMBERPROPERTY("xlextdat9 Adventure Works DW Adventure Works","[Product].[Product Categories].[Product Name].&amp;[580]","Color")</f>
        <v>#N/A</v>
      </c>
      <c r="D141" vm="711">
        <f t="shared" si="2"/>
        <v>1657198.1824999978</v>
      </c>
    </row>
    <row r="142" spans="1:4">
      <c r="A142" s="3" t="str" vm="251">
        <f>CUBEMEMBER("xlextdat9 Adventure Works DW Adventure Works","[Product].[Product Categories].[Product Name].&amp;[581]")</f>
        <v>Road-350-W Yellow, 42</v>
      </c>
      <c r="B142" s="1"/>
      <c r="C142" s="1" t="e">
        <f>CUBEMEMBERPROPERTY("xlextdat9 Adventure Works DW Adventure Works","[Product].[Product Categories].[Product Name].&amp;[581]","Color")</f>
        <v>#N/A</v>
      </c>
      <c r="D142" vm="513">
        <f t="shared" si="2"/>
        <v>1120066.3642999979</v>
      </c>
    </row>
    <row r="143" spans="1:4">
      <c r="A143" s="3" t="str" vm="250">
        <f>CUBEMEMBER("xlextdat9 Adventure Works DW Adventure Works","[Product].[Product Categories].[Product Name].&amp;[582]")</f>
        <v>Road-350-W Yellow, 44</v>
      </c>
      <c r="B143" s="1"/>
      <c r="C143" s="1" t="e">
        <f>CUBEMEMBERPROPERTY("xlextdat9 Adventure Works DW Adventure Works","[Product].[Product Categories].[Product Name].&amp;[582]","Color")</f>
        <v>#N/A</v>
      </c>
      <c r="D143" vm="710">
        <f t="shared" si="2"/>
        <v>694003.9199999983</v>
      </c>
    </row>
    <row r="144" spans="1:4">
      <c r="A144" s="3" t="str" vm="249">
        <f>CUBEMEMBER("xlextdat9 Adventure Works DW Adventure Works","[Product].[Product Categories].[Product Name].&amp;[583]")</f>
        <v>Road-350-W Yellow, 48</v>
      </c>
      <c r="B144" s="1"/>
      <c r="C144" s="1" t="e">
        <f>CUBEMEMBERPROPERTY("xlextdat9 Adventure Works DW Adventure Works","[Product].[Product Categories].[Product Name].&amp;[583]","Color")</f>
        <v>#N/A</v>
      </c>
      <c r="D144" vm="512">
        <f t="shared" si="2"/>
        <v>1774883.5571999981</v>
      </c>
    </row>
    <row r="145" spans="1:4">
      <c r="A145" s="3" t="str" vm="248">
        <f>CUBEMEMBER("xlextdat9 Adventure Works DW Adventure Works","[Product].[Product Categories].[Product Name].&amp;[584]")</f>
        <v>Road-750 Black, 58</v>
      </c>
      <c r="B145" s="1"/>
      <c r="C145" s="1" t="e">
        <f>CUBEMEMBERPROPERTY("xlextdat9 Adventure Works DW Adventure Works","[Product].[Product Categories].[Product Name].&amp;[584]","Color")</f>
        <v>#N/A</v>
      </c>
      <c r="D145" vm="709">
        <f t="shared" si="2"/>
        <v>361145.31199999934</v>
      </c>
    </row>
    <row r="146" spans="1:4">
      <c r="A146" s="3" t="str" vm="247">
        <f>CUBEMEMBER("xlextdat9 Adventure Works DW Adventure Works","[Product].[Product Categories].[Product Name].&amp;[604]")</f>
        <v>Road-750 Black, 44</v>
      </c>
      <c r="B146" s="1"/>
      <c r="C146" s="1" t="e">
        <f>CUBEMEMBERPROPERTY("xlextdat9 Adventure Works DW Adventure Works","[Product].[Product Categories].[Product Name].&amp;[604]","Color")</f>
        <v>#N/A</v>
      </c>
      <c r="D146" vm="511">
        <f t="shared" si="2"/>
        <v>290298.62400000048</v>
      </c>
    </row>
    <row r="147" spans="1:4">
      <c r="A147" s="3" t="str" vm="246">
        <f>CUBEMEMBER("xlextdat9 Adventure Works DW Adventure Works","[Product].[Product Categories].[Product Name].&amp;[605]")</f>
        <v>Road-750 Black, 48</v>
      </c>
      <c r="B147" s="1"/>
      <c r="C147" s="1" t="e">
        <f>CUBEMEMBERPROPERTY("xlextdat9 Adventure Works DW Adventure Works","[Product].[Product Categories].[Product Name].&amp;[605]","Color")</f>
        <v>#N/A</v>
      </c>
      <c r="D147" vm="708">
        <f t="shared" si="2"/>
        <v>578174.31299999717</v>
      </c>
    </row>
    <row r="148" spans="1:4">
      <c r="A148" s="3" t="str" vm="245">
        <f>CUBEMEMBER("xlextdat9 Adventure Works DW Adventure Works","[Product].[Product Categories].[Product Name].&amp;[606]")</f>
        <v>Road-750 Black, 52</v>
      </c>
      <c r="B148" s="1"/>
      <c r="C148" s="1" t="e">
        <f>CUBEMEMBERPROPERTY("xlextdat9 Adventure Works DW Adventure Works","[Product].[Product Categories].[Product Name].&amp;[606]","Color")</f>
        <v>#N/A</v>
      </c>
      <c r="D148" vm="510">
        <f t="shared" si="2"/>
        <v>515666.90649999713</v>
      </c>
    </row>
    <row r="149" spans="1:4">
      <c r="A149" s="2" t="str" vm="244">
        <f>CUBEMEMBER("xlextdat9 Adventure Works DW Adventure Works","[Product].[Product Categories].[Subcategory].&amp;[3]")</f>
        <v>Touring Bikes</v>
      </c>
      <c r="B149" s="1" t="e">
        <f>CUBEMEMBERPROPERTY("xlextdat9 Adventure Works DW Adventure Works","[Product].[Product Categories].[Subcategory].&amp;[3]","Category")</f>
        <v>#N/A</v>
      </c>
      <c r="D149" vm="707">
        <f t="shared" si="2"/>
        <v>14296291.269799992</v>
      </c>
    </row>
    <row r="150" spans="1:4">
      <c r="A150" s="3" t="str" vm="243">
        <f>CUBEMEMBER("xlextdat9 Adventure Works DW Adventure Works","[Product].[Product Categories].[Product Name].&amp;[560]")</f>
        <v>Touring-2000 Blue, 60</v>
      </c>
      <c r="B150" s="1"/>
      <c r="C150" s="1" t="e">
        <f>CUBEMEMBERPROPERTY("xlextdat9 Adventure Works DW Adventure Works","[Product].[Product Categories].[Product Name].&amp;[560]","Color")</f>
        <v>#N/A</v>
      </c>
      <c r="D150" vm="509">
        <f t="shared" si="2"/>
        <v>635723.71589999867</v>
      </c>
    </row>
    <row r="151" spans="1:4">
      <c r="A151" s="3" t="str" vm="242">
        <f>CUBEMEMBER("xlextdat9 Adventure Works DW Adventure Works","[Product].[Product Categories].[Product Name].&amp;[561]")</f>
        <v>Touring-1000 Yellow, 46</v>
      </c>
      <c r="B151" s="1"/>
      <c r="C151" s="1" t="e">
        <f>CUBEMEMBERPROPERTY("xlextdat9 Adventure Works DW Adventure Works","[Product].[Product Categories].[Product Name].&amp;[561]","Color")</f>
        <v>#N/A</v>
      </c>
      <c r="D151" vm="706">
        <f t="shared" si="2"/>
        <v>1426372.8693999932</v>
      </c>
    </row>
    <row r="152" spans="1:4">
      <c r="A152" s="3" t="str" vm="241">
        <f>CUBEMEMBER("xlextdat9 Adventure Works DW Adventure Works","[Product].[Product Categories].[Product Name].&amp;[562]")</f>
        <v>Touring-1000 Yellow, 50</v>
      </c>
      <c r="B152" s="1"/>
      <c r="C152" s="1" t="e">
        <f>CUBEMEMBERPROPERTY("xlextdat9 Adventure Works DW Adventure Works","[Product].[Product Categories].[Product Name].&amp;[562]","Color")</f>
        <v>#N/A</v>
      </c>
      <c r="D152" vm="508">
        <f t="shared" si="2"/>
        <v>981187.84920000052</v>
      </c>
    </row>
    <row r="153" spans="1:4">
      <c r="A153" s="3" t="str" vm="240">
        <f>CUBEMEMBER("xlextdat9 Adventure Works DW Adventure Works","[Product].[Product Categories].[Product Name].&amp;[563]")</f>
        <v>Touring-1000 Yellow, 54</v>
      </c>
      <c r="B153" s="1"/>
      <c r="C153" s="1" t="e">
        <f>CUBEMEMBERPROPERTY("xlextdat9 Adventure Works DW Adventure Works","[Product].[Product Categories].[Product Name].&amp;[563]","Color")</f>
        <v>#N/A</v>
      </c>
      <c r="D153" vm="705">
        <f t="shared" si="2"/>
        <v>667158.14880000101</v>
      </c>
    </row>
    <row r="154" spans="1:4">
      <c r="A154" s="3" t="str" vm="239">
        <f>CUBEMEMBER("xlextdat9 Adventure Works DW Adventure Works","[Product].[Product Categories].[Product Name].&amp;[564]")</f>
        <v>Touring-1000 Yellow, 60</v>
      </c>
      <c r="B154" s="1"/>
      <c r="C154" s="1" t="e">
        <f>CUBEMEMBERPROPERTY("xlextdat9 Adventure Works DW Adventure Works","[Product].[Product Categories].[Product Name].&amp;[564]","Color")</f>
        <v>#N/A</v>
      </c>
      <c r="D154" vm="507">
        <f t="shared" si="2"/>
        <v>1518133.1012999937</v>
      </c>
    </row>
    <row r="155" spans="1:4">
      <c r="A155" s="3" t="str" vm="238">
        <f>CUBEMEMBER("xlextdat9 Adventure Works DW Adventure Works","[Product].[Product Categories].[Product Name].&amp;[565]")</f>
        <v>Touring-3000 Blue, 54</v>
      </c>
      <c r="B155" s="1"/>
      <c r="C155" s="1" t="e">
        <f>CUBEMEMBERPROPERTY("xlextdat9 Adventure Works DW Adventure Works","[Product].[Product Categories].[Product Name].&amp;[565]","Color")</f>
        <v>#N/A</v>
      </c>
      <c r="D155" vm="704">
        <f t="shared" si="2"/>
        <v>290075.11930000037</v>
      </c>
    </row>
    <row r="156" spans="1:4">
      <c r="A156" s="3" t="str" vm="237">
        <f>CUBEMEMBER("xlextdat9 Adventure Works DW Adventure Works","[Product].[Product Categories].[Product Name].&amp;[566]")</f>
        <v>Touring-3000 Blue, 58</v>
      </c>
      <c r="B156" s="1"/>
      <c r="C156" s="1" t="e">
        <f>CUBEMEMBERPROPERTY("xlextdat9 Adventure Works DW Adventure Works","[Product].[Product Categories].[Product Name].&amp;[566]","Color")</f>
        <v>#N/A</v>
      </c>
      <c r="D156" vm="506">
        <f t="shared" si="2"/>
        <v>210946.17700000043</v>
      </c>
    </row>
    <row r="157" spans="1:4">
      <c r="A157" s="3" t="str" vm="236">
        <f>CUBEMEMBER("xlextdat9 Adventure Works DW Adventure Works","[Product].[Product Categories].[Product Name].&amp;[567]")</f>
        <v>Touring-3000 Blue, 62</v>
      </c>
      <c r="B157" s="1"/>
      <c r="C157" s="1" t="e">
        <f>CUBEMEMBERPROPERTY("xlextdat9 Adventure Works DW Adventure Works","[Product].[Product Categories].[Product Name].&amp;[567]","Color")</f>
        <v>#N/A</v>
      </c>
      <c r="D157" vm="703">
        <f t="shared" si="2"/>
        <v>135284.00880000001</v>
      </c>
    </row>
    <row r="158" spans="1:4">
      <c r="A158" s="3" t="str" vm="235">
        <f>CUBEMEMBER("xlextdat9 Adventure Works DW Adventure Works","[Product].[Product Categories].[Product Name].&amp;[568]")</f>
        <v>Touring-3000 Yellow, 44</v>
      </c>
      <c r="B158" s="1"/>
      <c r="C158" s="1" t="e">
        <f>CUBEMEMBERPROPERTY("xlextdat9 Adventure Works DW Adventure Works","[Product].[Product Categories].[Product Name].&amp;[568]","Color")</f>
        <v>#N/A</v>
      </c>
      <c r="D158" vm="505">
        <f t="shared" si="2"/>
        <v>358121.89010000037</v>
      </c>
    </row>
    <row r="159" spans="1:4">
      <c r="A159" s="3" t="str" vm="234">
        <f>CUBEMEMBER("xlextdat9 Adventure Works DW Adventure Works","[Product].[Product Categories].[Product Name].&amp;[569]")</f>
        <v>Touring-3000 Yellow, 50</v>
      </c>
      <c r="B159" s="1"/>
      <c r="C159" s="1" t="e">
        <f>CUBEMEMBERPROPERTY("xlextdat9 Adventure Works DW Adventure Works","[Product].[Product Categories].[Product Name].&amp;[569]","Color")</f>
        <v>#N/A</v>
      </c>
      <c r="D159" vm="702">
        <f t="shared" si="2"/>
        <v>291747.26290000044</v>
      </c>
    </row>
    <row r="160" spans="1:4">
      <c r="A160" s="3" t="str" vm="233">
        <f>CUBEMEMBER("xlextdat9 Adventure Works DW Adventure Works","[Product].[Product Categories].[Product Name].&amp;[570]")</f>
        <v>Touring-3000 Yellow, 54</v>
      </c>
      <c r="B160" s="1"/>
      <c r="C160" s="1" t="e">
        <f>CUBEMEMBERPROPERTY("xlextdat9 Adventure Works DW Adventure Works","[Product].[Product Categories].[Product Name].&amp;[570]","Color")</f>
        <v>#N/A</v>
      </c>
      <c r="D160" vm="504">
        <f t="shared" si="2"/>
        <v>196809.9770000003</v>
      </c>
    </row>
    <row r="161" spans="1:4">
      <c r="A161" s="3" t="str" vm="232">
        <f>CUBEMEMBER("xlextdat9 Adventure Works DW Adventure Works","[Product].[Product Categories].[Product Name].&amp;[571]")</f>
        <v>Touring-3000 Yellow, 58</v>
      </c>
      <c r="B161" s="1"/>
      <c r="C161" s="1" t="e">
        <f>CUBEMEMBERPROPERTY("xlextdat9 Adventure Works DW Adventure Works","[Product].[Product Categories].[Product Name].&amp;[571]","Color")</f>
        <v>#N/A</v>
      </c>
      <c r="D161" vm="701">
        <f t="shared" si="2"/>
        <v>130898.57620000001</v>
      </c>
    </row>
    <row r="162" spans="1:4">
      <c r="A162" s="3" t="str" vm="231">
        <f>CUBEMEMBER("xlextdat9 Adventure Works DW Adventure Works","[Product].[Product Categories].[Product Name].&amp;[572]")</f>
        <v>Touring-3000 Yellow, 62</v>
      </c>
      <c r="B162" s="1"/>
      <c r="C162" s="1" t="e">
        <f>CUBEMEMBERPROPERTY("xlextdat9 Adventure Works DW Adventure Works","[Product].[Product Categories].[Product Name].&amp;[572]","Color")</f>
        <v>#N/A</v>
      </c>
      <c r="D162" vm="503">
        <f t="shared" si="2"/>
        <v>351547.71270000032</v>
      </c>
    </row>
    <row r="163" spans="1:4">
      <c r="A163" s="3" t="str" vm="230">
        <f>CUBEMEMBER("xlextdat9 Adventure Works DW Adventure Works","[Product].[Product Categories].[Product Name].&amp;[573]")</f>
        <v>Touring-1000 Blue, 46</v>
      </c>
      <c r="B163" s="1"/>
      <c r="C163" s="1" t="e">
        <f>CUBEMEMBERPROPERTY("xlextdat9 Adventure Works DW Adventure Works","[Product].[Product Categories].[Product Name].&amp;[573]","Color")</f>
        <v>#N/A</v>
      </c>
      <c r="D163" vm="700">
        <f t="shared" si="2"/>
        <v>1586953.5730999925</v>
      </c>
    </row>
    <row r="164" spans="1:4">
      <c r="A164" s="3" t="str" vm="229">
        <f>CUBEMEMBER("xlextdat9 Adventure Works DW Adventure Works","[Product].[Product Categories].[Product Name].&amp;[574]")</f>
        <v>Touring-1000 Blue, 50</v>
      </c>
      <c r="B164" s="1"/>
      <c r="C164" s="1" t="e">
        <f>CUBEMEMBERPROPERTY("xlextdat9 Adventure Works DW Adventure Works","[Product].[Product Categories].[Product Name].&amp;[574]","Color")</f>
        <v>#N/A</v>
      </c>
      <c r="D164" vm="502">
        <f t="shared" si="2"/>
        <v>1071401.0580000007</v>
      </c>
    </row>
    <row r="165" spans="1:4">
      <c r="A165" s="3" t="str" vm="228">
        <f>CUBEMEMBER("xlextdat9 Adventure Works DW Adventure Works","[Product].[Product Categories].[Product Name].&amp;[575]")</f>
        <v>Touring-1000 Blue, 54</v>
      </c>
      <c r="B165" s="1"/>
      <c r="C165" s="1" t="e">
        <f>CUBEMEMBERPROPERTY("xlextdat9 Adventure Works DW Adventure Works","[Product].[Product Categories].[Product Name].&amp;[575]","Color")</f>
        <v>#N/A</v>
      </c>
      <c r="D165" vm="699">
        <f t="shared" si="2"/>
        <v>743353.02600000112</v>
      </c>
    </row>
    <row r="166" spans="1:4">
      <c r="A166" s="3" t="str" vm="227">
        <f>CUBEMEMBER("xlextdat9 Adventure Works DW Adventure Works","[Product].[Product Categories].[Product Name].&amp;[576]")</f>
        <v>Touring-1000 Blue, 60</v>
      </c>
      <c r="B166" s="1"/>
      <c r="C166" s="1" t="e">
        <f>CUBEMEMBERPROPERTY("xlextdat9 Adventure Works DW Adventure Works","[Product].[Product Categories].[Product Name].&amp;[576]","Color")</f>
        <v>#N/A</v>
      </c>
      <c r="D166" vm="501">
        <f t="shared" si="2"/>
        <v>1721242.5143999932</v>
      </c>
    </row>
    <row r="167" spans="1:4">
      <c r="A167" s="3" t="str" vm="226">
        <f>CUBEMEMBER("xlextdat9 Adventure Works DW Adventure Works","[Product].[Product Categories].[Product Name].&amp;[577]")</f>
        <v>Touring-2000 Blue, 46</v>
      </c>
      <c r="B167" s="1"/>
      <c r="C167" s="1" t="e">
        <f>CUBEMEMBERPROPERTY("xlextdat9 Adventure Works DW Adventure Works","[Product].[Product Categories].[Product Name].&amp;[577]","Color")</f>
        <v>#N/A</v>
      </c>
      <c r="D167" vm="698">
        <f t="shared" si="2"/>
        <v>438867.47810000065</v>
      </c>
    </row>
    <row r="168" spans="1:4">
      <c r="A168" s="3" t="str" vm="225">
        <f>CUBEMEMBER("xlextdat9 Adventure Works DW Adventure Works","[Product].[Product Categories].[Product Name].&amp;[578]")</f>
        <v>Touring-2000 Blue, 50</v>
      </c>
      <c r="B168" s="1"/>
      <c r="C168" s="1" t="e">
        <f>CUBEMEMBERPROPERTY("xlextdat9 Adventure Works DW Adventure Works","[Product].[Product Categories].[Product Name].&amp;[578]","Color")</f>
        <v>#N/A</v>
      </c>
      <c r="D168" vm="500">
        <f t="shared" si="2"/>
        <v>286218.66000000061</v>
      </c>
    </row>
    <row r="169" spans="1:4">
      <c r="A169" s="3" t="str" vm="224">
        <f>CUBEMEMBER("xlextdat9 Adventure Works DW Adventure Works","[Product].[Product Categories].[Product Name].&amp;[579]")</f>
        <v>Touring-2000 Blue, 54</v>
      </c>
      <c r="B169" s="1"/>
      <c r="C169" s="1" t="e">
        <f>CUBEMEMBERPROPERTY("xlextdat9 Adventure Works DW Adventure Works","[Product].[Product Categories].[Product Name].&amp;[579]","Color")</f>
        <v>#N/A</v>
      </c>
      <c r="D169" vm="697">
        <f t="shared" si="2"/>
        <v>772302.01229999831</v>
      </c>
    </row>
    <row r="170" spans="1:4">
      <c r="A170" s="3" t="str" vm="223">
        <f>CUBEMEMBER("xlextdat9 Adventure Works DW Adventure Works","[Product].[Product Categories].[Product Name].&amp;[585]")</f>
        <v>Touring-3000 Blue, 44</v>
      </c>
      <c r="B170" s="1"/>
      <c r="C170" s="1" t="e">
        <f>CUBEMEMBERPROPERTY("xlextdat9 Adventure Works DW Adventure Works","[Product].[Product Categories].[Product Name].&amp;[585]","Color")</f>
        <v>#N/A</v>
      </c>
      <c r="D170" vm="499">
        <f t="shared" si="2"/>
        <v>133365.03419999999</v>
      </c>
    </row>
    <row r="171" spans="1:4">
      <c r="A171" s="3" t="str" vm="222">
        <f>CUBEMEMBER("xlextdat9 Adventure Works DW Adventure Works","[Product].[Product Categories].[Product Name].&amp;[586]")</f>
        <v>Touring-3000 Blue, 50</v>
      </c>
      <c r="B171" s="1"/>
      <c r="C171" s="1" t="e">
        <f>CUBEMEMBERPROPERTY("xlextdat9 Adventure Works DW Adventure Works","[Product].[Product Categories].[Product Name].&amp;[586]","Color")</f>
        <v>#N/A</v>
      </c>
      <c r="D171" vm="696">
        <f t="shared" si="2"/>
        <v>348581.50510000042</v>
      </c>
    </row>
    <row r="172" spans="1:4">
      <c r="A172" s="1" t="str" vm="221">
        <f>CUBEMEMBER("xlextdat9 Adventure Works DW Adventure Works","[Product].[Product Categories].[Category].&amp;[3]")</f>
        <v>Clothing</v>
      </c>
      <c r="D172" vm="498">
        <f t="shared" si="2"/>
        <v>2117613.4490999151</v>
      </c>
    </row>
    <row r="173" spans="1:4">
      <c r="A173" s="2" t="str" vm="220">
        <f>CUBEMEMBER("xlextdat9 Adventure Works DW Adventure Works","[Product].[Product Categories].[Subcategory].&amp;[18]")</f>
        <v>Bib-Shorts</v>
      </c>
      <c r="B173" s="1" t="e">
        <f>CUBEMEMBERPROPERTY("xlextdat9 Adventure Works DW Adventure Works","[Product].[Product Categories].[Subcategory].&amp;[18]","Category")</f>
        <v>#N/A</v>
      </c>
      <c r="D173" vm="695">
        <f t="shared" si="2"/>
        <v>166739.70860000007</v>
      </c>
    </row>
    <row r="174" spans="1:4">
      <c r="A174" s="3" t="str" vm="219">
        <f>CUBEMEMBER("xlextdat9 Adventure Works DW Adventure Works","[Product].[Product Categories].[Product Name].&amp;[459]")</f>
        <v>Men's Bib-Shorts, S</v>
      </c>
      <c r="B174" s="1"/>
      <c r="C174" s="1" t="e">
        <f>CUBEMEMBERPROPERTY("xlextdat9 Adventure Works DW Adventure Works","[Product].[Product Categories].[Product Name].&amp;[459]","Color")</f>
        <v>#N/A</v>
      </c>
      <c r="D174" vm="497">
        <f t="shared" si="2"/>
        <v>46980.395400000001</v>
      </c>
    </row>
    <row r="175" spans="1:4">
      <c r="A175" s="3" t="str" vm="218">
        <f>CUBEMEMBER("xlextdat9 Adventure Works DW Adventure Works","[Product].[Product Categories].[Product Name].&amp;[460]")</f>
        <v>Men's Bib-Shorts, M</v>
      </c>
      <c r="B175" s="1"/>
      <c r="C175" s="1" t="e">
        <f>CUBEMEMBERPROPERTY("xlextdat9 Adventure Works DW Adventure Works","[Product].[Product Categories].[Product Name].&amp;[460]","Color")</f>
        <v>#N/A</v>
      </c>
      <c r="D175" vm="694">
        <f t="shared" si="2"/>
        <v>85581.111200000014</v>
      </c>
    </row>
    <row r="176" spans="1:4">
      <c r="A176" s="3" t="str" vm="217">
        <f>CUBEMEMBER("xlextdat9 Adventure Works DW Adventure Works","[Product].[Product Categories].[Product Name].&amp;[461]")</f>
        <v>Men's Bib-Shorts, L</v>
      </c>
      <c r="B176" s="1"/>
      <c r="C176" s="1" t="e">
        <f>CUBEMEMBERPROPERTY("xlextdat9 Adventure Works DW Adventure Works","[Product].[Product Categories].[Product Name].&amp;[461]","Color")</f>
        <v>#N/A</v>
      </c>
      <c r="D176" vm="496">
        <f t="shared" si="2"/>
        <v>34178.202000000005</v>
      </c>
    </row>
    <row r="177" spans="1:4">
      <c r="A177" s="2" t="str" vm="216">
        <f>CUBEMEMBER("xlextdat9 Adventure Works DW Adventure Works","[Product].[Product Categories].[Subcategory].&amp;[19]")</f>
        <v>Caps</v>
      </c>
      <c r="B177" s="1" t="e">
        <f>CUBEMEMBERPROPERTY("xlextdat9 Adventure Works DW Adventure Works","[Product].[Product Categories].[Subcategory].&amp;[19]","Category")</f>
        <v>#N/A</v>
      </c>
      <c r="D177" vm="693">
        <f t="shared" si="2"/>
        <v>51229.446100000205</v>
      </c>
    </row>
    <row r="178" spans="1:4">
      <c r="A178" s="3" t="str" vm="215">
        <f>CUBEMEMBER("xlextdat9 Adventure Works DW Adventure Works","[Product].[Product Categories].[Product Name].&amp;[223]")</f>
        <v>AWC Logo Cap</v>
      </c>
      <c r="B178" s="1"/>
      <c r="C178" s="1" t="e">
        <f>CUBEMEMBERPROPERTY("xlextdat9 Adventure Works DW Adventure Works","[Product].[Product Categories].[Product Name].&amp;[223]","Color")</f>
        <v>#N/A</v>
      </c>
      <c r="D178" vm="495">
        <f t="shared" si="2"/>
        <v>5081.0471999999982</v>
      </c>
    </row>
    <row r="179" spans="1:4">
      <c r="A179" s="3" t="str" vm="214">
        <f>CUBEMEMBER("xlextdat9 Adventure Works DW Adventure Works","[Product].[Product Categories].[Product Name].&amp;[224]")</f>
        <v>AWC Logo Cap</v>
      </c>
      <c r="B179" s="1"/>
      <c r="C179" s="1" t="e">
        <f>CUBEMEMBERPROPERTY("xlextdat9 Adventure Works DW Adventure Works","[Product].[Product Categories].[Product Name].&amp;[224]","Color")</f>
        <v>#N/A</v>
      </c>
      <c r="D179" vm="692">
        <f t="shared" si="2"/>
        <v>11698.796799999998</v>
      </c>
    </row>
    <row r="180" spans="1:4">
      <c r="A180" s="3" t="str" vm="213">
        <f>CUBEMEMBER("xlextdat9 Adventure Works DW Adventure Works","[Product].[Product Categories].[Product Name].&amp;[225]")</f>
        <v>AWC Logo Cap</v>
      </c>
      <c r="B180" s="1"/>
      <c r="C180" s="1" t="e">
        <f>CUBEMEMBERPROPERTY("xlextdat9 Adventure Works DW Adventure Works","[Product].[Product Categories].[Product Name].&amp;[225]","Color")</f>
        <v>#N/A</v>
      </c>
      <c r="D180" vm="494">
        <f t="shared" si="2"/>
        <v>34449.602099999742</v>
      </c>
    </row>
    <row r="181" spans="1:4">
      <c r="A181" s="2" t="str" vm="212">
        <f>CUBEMEMBER("xlextdat9 Adventure Works DW Adventure Works","[Product].[Product Categories].[Subcategory].&amp;[20]")</f>
        <v>Gloves</v>
      </c>
      <c r="B181" s="1" t="e">
        <f>CUBEMEMBERPROPERTY("xlextdat9 Adventure Works DW Adventure Works","[Product].[Product Categories].[Subcategory].&amp;[20]","Category")</f>
        <v>#N/A</v>
      </c>
      <c r="D181" vm="691">
        <f t="shared" si="2"/>
        <v>242795.87420000287</v>
      </c>
    </row>
    <row r="182" spans="1:4">
      <c r="A182" s="3" t="str" vm="211">
        <f>CUBEMEMBER("xlextdat9 Adventure Works DW Adventure Works","[Product].[Product Categories].[Product Name].&amp;[462]")</f>
        <v>Half-Finger Gloves, S</v>
      </c>
      <c r="B182" s="1"/>
      <c r="C182" s="1" t="e">
        <f>CUBEMEMBERPROPERTY("xlextdat9 Adventure Works DW Adventure Works","[Product].[Product Categories].[Product Name].&amp;[462]","Color")</f>
        <v>#N/A</v>
      </c>
      <c r="D182" vm="493">
        <f t="shared" si="2"/>
        <v>7338.0981000000002</v>
      </c>
    </row>
    <row r="183" spans="1:4">
      <c r="A183" s="3" t="str" vm="210">
        <f>CUBEMEMBER("xlextdat9 Adventure Works DW Adventure Works","[Product].[Product Categories].[Product Name].&amp;[463]")</f>
        <v>Half-Finger Gloves, S</v>
      </c>
      <c r="B183" s="1"/>
      <c r="C183" s="1" t="e">
        <f>CUBEMEMBERPROPERTY("xlextdat9 Adventure Works DW Adventure Works","[Product].[Product Categories].[Product Name].&amp;[463]","Color")</f>
        <v>#N/A</v>
      </c>
      <c r="D183" vm="690">
        <f t="shared" si="2"/>
        <v>29152.452899999924</v>
      </c>
    </row>
    <row r="184" spans="1:4">
      <c r="A184" s="3" t="str" vm="209">
        <f>CUBEMEMBER("xlextdat9 Adventure Works DW Adventure Works","[Product].[Product Categories].[Product Name].&amp;[464]")</f>
        <v>Half-Finger Gloves, M</v>
      </c>
      <c r="B184" s="1"/>
      <c r="C184" s="1" t="e">
        <f>CUBEMEMBERPROPERTY("xlextdat9 Adventure Works DW Adventure Works","[Product].[Product Categories].[Product Name].&amp;[464]","Color")</f>
        <v>#N/A</v>
      </c>
      <c r="D184" vm="492">
        <f t="shared" si="2"/>
        <v>14871.097200000002</v>
      </c>
    </row>
    <row r="185" spans="1:4">
      <c r="A185" s="3" t="str" vm="208">
        <f>CUBEMEMBER("xlextdat9 Adventure Works DW Adventure Works","[Product].[Product Categories].[Product Name].&amp;[465]")</f>
        <v>Half-Finger Gloves, M</v>
      </c>
      <c r="B185" s="1"/>
      <c r="C185" s="1" t="e">
        <f>CUBEMEMBERPROPERTY("xlextdat9 Adventure Works DW Adventure Works","[Product].[Product Categories].[Product Name].&amp;[465]","Color")</f>
        <v>#N/A</v>
      </c>
      <c r="D185" vm="689">
        <f t="shared" si="2"/>
        <v>39674.390300000203</v>
      </c>
    </row>
    <row r="186" spans="1:4">
      <c r="A186" s="3" t="str" vm="207">
        <f>CUBEMEMBER("xlextdat9 Adventure Works DW Adventure Works","[Product].[Product Categories].[Product Name].&amp;[466]")</f>
        <v>Half-Finger Gloves, L</v>
      </c>
      <c r="B186" s="1"/>
      <c r="C186" s="1" t="e">
        <f>CUBEMEMBERPROPERTY("xlextdat9 Adventure Works DW Adventure Works","[Product].[Product Categories].[Product Name].&amp;[466]","Color")</f>
        <v>#N/A</v>
      </c>
      <c r="D186" vm="491">
        <f t="shared" si="2"/>
        <v>4210.4122000000007</v>
      </c>
    </row>
    <row r="187" spans="1:4">
      <c r="A187" s="3" t="str" vm="206">
        <f>CUBEMEMBER("xlextdat9 Adventure Works DW Adventure Works","[Product].[Product Categories].[Product Name].&amp;[467]")</f>
        <v>Half-Finger Gloves, L</v>
      </c>
      <c r="B187" s="1"/>
      <c r="C187" s="1" t="e">
        <f>CUBEMEMBERPROPERTY("xlextdat9 Adventure Works DW Adventure Works","[Product].[Product Categories].[Product Name].&amp;[467]","Color")</f>
        <v>#N/A</v>
      </c>
      <c r="D187" vm="688">
        <f t="shared" si="2"/>
        <v>18701.847299999914</v>
      </c>
    </row>
    <row r="188" spans="1:4">
      <c r="A188" s="3" t="str" vm="205">
        <f>CUBEMEMBER("xlextdat9 Adventure Works DW Adventure Works","[Product].[Product Categories].[Product Name].&amp;[468]")</f>
        <v>Full-Finger Gloves, S</v>
      </c>
      <c r="B188" s="1"/>
      <c r="C188" s="1" t="e">
        <f>CUBEMEMBERPROPERTY("xlextdat9 Adventure Works DW Adventure Works","[Product].[Product Categories].[Product Name].&amp;[468]","Color")</f>
        <v>#N/A</v>
      </c>
      <c r="D188" vm="490">
        <f t="shared" si="2"/>
        <v>11237.441999999999</v>
      </c>
    </row>
    <row r="189" spans="1:4">
      <c r="A189" s="3" t="str" vm="204">
        <f>CUBEMEMBER("xlextdat9 Adventure Works DW Adventure Works","[Product].[Product Categories].[Product Name].&amp;[469]")</f>
        <v>Full-Finger Gloves, M</v>
      </c>
      <c r="B189" s="1"/>
      <c r="C189" s="1" t="e">
        <f>CUBEMEMBERPROPERTY("xlextdat9 Adventure Works DW Adventure Works","[Product].[Product Categories].[Product Name].&amp;[469]","Color")</f>
        <v>#N/A</v>
      </c>
      <c r="D189" vm="687">
        <f t="shared" si="2"/>
        <v>47987.935200000007</v>
      </c>
    </row>
    <row r="190" spans="1:4">
      <c r="A190" s="3" t="str" vm="203">
        <f>CUBEMEMBER("xlextdat9 Adventure Works DW Adventure Works","[Product].[Product Categories].[Product Name].&amp;[470]")</f>
        <v>Full-Finger Gloves, L</v>
      </c>
      <c r="B190" s="1"/>
      <c r="C190" s="1" t="e">
        <f>CUBEMEMBERPROPERTY("xlextdat9 Adventure Works DW Adventure Works","[Product].[Product Categories].[Product Name].&amp;[470]","Color")</f>
        <v>#N/A</v>
      </c>
      <c r="D190" vm="489">
        <f t="shared" si="2"/>
        <v>69622.198999999993</v>
      </c>
    </row>
    <row r="191" spans="1:4">
      <c r="A191" s="2" t="str" vm="202">
        <f>CUBEMEMBER("xlextdat9 Adventure Works DW Adventure Works","[Product].[Product Categories].[Subcategory].&amp;[21]")</f>
        <v>Jerseys</v>
      </c>
      <c r="B191" s="1" t="e">
        <f>CUBEMEMBERPROPERTY("xlextdat9 Adventure Works DW Adventure Works","[Product].[Product Categories].[Subcategory].&amp;[21]","Category")</f>
        <v>#N/A</v>
      </c>
      <c r="D191" vm="686">
        <f t="shared" si="2"/>
        <v>752259.38839997468</v>
      </c>
    </row>
    <row r="192" spans="1:4">
      <c r="A192" s="3" t="str" vm="201">
        <f>CUBEMEMBER("xlextdat9 Adventure Works DW Adventure Works","[Product].[Product Categories].[Product Name].&amp;[228]")</f>
        <v>Long-Sleeve Logo Jersey, S</v>
      </c>
      <c r="B192" s="1"/>
      <c r="C192" s="1" t="e">
        <f>CUBEMEMBERPROPERTY("xlextdat9 Adventure Works DW Adventure Works","[Product].[Product Categories].[Product Name].&amp;[228]","Color")</f>
        <v>#N/A</v>
      </c>
      <c r="D192" vm="488">
        <f t="shared" si="2"/>
        <v>21445.70999999993</v>
      </c>
    </row>
    <row r="193" spans="1:4">
      <c r="A193" s="3" t="str" vm="200">
        <f>CUBEMEMBER("xlextdat9 Adventure Works DW Adventure Works","[Product].[Product Categories].[Product Name].&amp;[229]")</f>
        <v>Long-Sleeve Logo Jersey, M</v>
      </c>
      <c r="B193" s="1"/>
      <c r="C193" s="1" t="e">
        <f>CUBEMEMBERPROPERTY("xlextdat9 Adventure Works DW Adventure Works","[Product].[Product Categories].[Product Name].&amp;[229]","Color")</f>
        <v>#N/A</v>
      </c>
      <c r="D193" vm="685">
        <f t="shared" si="2"/>
        <v>12603.254800000002</v>
      </c>
    </row>
    <row r="194" spans="1:4">
      <c r="A194" s="3" t="str" vm="199">
        <f>CUBEMEMBER("xlextdat9 Adventure Works DW Adventure Works","[Product].[Product Categories].[Product Name].&amp;[230]")</f>
        <v>Long-Sleeve Logo Jersey, M</v>
      </c>
      <c r="B194" s="1"/>
      <c r="C194" s="1" t="e">
        <f>CUBEMEMBERPROPERTY("xlextdat9 Adventure Works DW Adventure Works","[Product].[Product Categories].[Product Name].&amp;[230]","Color")</f>
        <v>#N/A</v>
      </c>
      <c r="D194" vm="487">
        <f t="shared" ref="D194:D257" si="3">CUBEVALUE("xlextdat9 Adventure Works DW Adventure Works",$A194,D$1)</f>
        <v>35500.871799999986</v>
      </c>
    </row>
    <row r="195" spans="1:4">
      <c r="A195" s="3" t="str" vm="198">
        <f>CUBEMEMBER("xlextdat9 Adventure Works DW Adventure Works","[Product].[Product Categories].[Product Name].&amp;[231]")</f>
        <v>Long-Sleeve Logo Jersey, M</v>
      </c>
      <c r="B195" s="1"/>
      <c r="C195" s="1" t="e">
        <f>CUBEMEMBERPROPERTY("xlextdat9 Adventure Works DW Adventure Works","[Product].[Product Categories].[Product Name].&amp;[231]","Color")</f>
        <v>#N/A</v>
      </c>
      <c r="D195" vm="684">
        <f t="shared" si="3"/>
        <v>67145.08840000027</v>
      </c>
    </row>
    <row r="196" spans="1:4">
      <c r="A196" s="3" t="str" vm="197">
        <f>CUBEMEMBER("xlextdat9 Adventure Works DW Adventure Works","[Product].[Product Categories].[Product Name].&amp;[232]")</f>
        <v>Long-Sleeve Logo Jersey, L</v>
      </c>
      <c r="B196" s="1"/>
      <c r="C196" s="1" t="e">
        <f>CUBEMEMBERPROPERTY("xlextdat9 Adventure Works DW Adventure Works","[Product].[Product Categories].[Product Name].&amp;[232]","Color")</f>
        <v>#N/A</v>
      </c>
      <c r="D196" vm="486">
        <f t="shared" si="3"/>
        <v>28399.494599999998</v>
      </c>
    </row>
    <row r="197" spans="1:4">
      <c r="A197" s="3" t="str" vm="196">
        <f>CUBEMEMBER("xlextdat9 Adventure Works DW Adventure Works","[Product].[Product Categories].[Product Name].&amp;[233]")</f>
        <v>Long-Sleeve Logo Jersey, L</v>
      </c>
      <c r="B197" s="1"/>
      <c r="C197" s="1" t="e">
        <f>CUBEMEMBERPROPERTY("xlextdat9 Adventure Works DW Adventure Works","[Product].[Product Categories].[Product Name].&amp;[233]","Color")</f>
        <v>#N/A</v>
      </c>
      <c r="D197" vm="683">
        <f t="shared" si="3"/>
        <v>66166.122600000002</v>
      </c>
    </row>
    <row r="198" spans="1:4">
      <c r="A198" s="3" t="str" vm="195">
        <f>CUBEMEMBER("xlextdat9 Adventure Works DW Adventure Works","[Product].[Product Categories].[Product Name].&amp;[234]")</f>
        <v>Long-Sleeve Logo Jersey, L</v>
      </c>
      <c r="B198" s="1"/>
      <c r="C198" s="1" t="e">
        <f>CUBEMEMBERPROPERTY("xlextdat9 Adventure Works DW Adventure Works","[Product].[Product Categories].[Product Name].&amp;[234]","Color")</f>
        <v>#N/A</v>
      </c>
      <c r="D198" vm="485">
        <f t="shared" si="3"/>
        <v>104189.35819999943</v>
      </c>
    </row>
    <row r="199" spans="1:4">
      <c r="A199" s="3" t="str" vm="194">
        <f>CUBEMEMBER("xlextdat9 Adventure Works DW Adventure Works","[Product].[Product Categories].[Product Name].&amp;[235]")</f>
        <v>Long-Sleeve Logo Jersey, XL</v>
      </c>
      <c r="B199" s="1"/>
      <c r="C199" s="1" t="e">
        <f>CUBEMEMBERPROPERTY("xlextdat9 Adventure Works DW Adventure Works","[Product].[Product Categories].[Product Name].&amp;[235]","Color")</f>
        <v>#N/A</v>
      </c>
      <c r="D199" vm="682">
        <f t="shared" si="3"/>
        <v>13670.349600000001</v>
      </c>
    </row>
    <row r="200" spans="1:4">
      <c r="A200" s="3" t="str" vm="193">
        <f>CUBEMEMBER("xlextdat9 Adventure Works DW Adventure Works","[Product].[Product Categories].[Product Name].&amp;[236]")</f>
        <v>Long-Sleeve Logo Jersey, XL</v>
      </c>
      <c r="B200" s="1"/>
      <c r="C200" s="1" t="e">
        <f>CUBEMEMBERPROPERTY("xlextdat9 Adventure Works DW Adventure Works","[Product].[Product Categories].[Product Name].&amp;[236]","Color")</f>
        <v>#N/A</v>
      </c>
      <c r="D200" vm="484">
        <f t="shared" si="3"/>
        <v>31612.015100000004</v>
      </c>
    </row>
    <row r="201" spans="1:4">
      <c r="A201" s="3" t="str" vm="192">
        <f>CUBEMEMBER("xlextdat9 Adventure Works DW Adventure Works","[Product].[Product Categories].[Product Name].&amp;[237]")</f>
        <v>Long-Sleeve Logo Jersey, XL</v>
      </c>
      <c r="B201" s="1"/>
      <c r="C201" s="1" t="e">
        <f>CUBEMEMBERPROPERTY("xlextdat9 Adventure Works DW Adventure Works","[Product].[Product Categories].[Product Name].&amp;[237]","Color")</f>
        <v>#N/A</v>
      </c>
      <c r="D201" vm="681">
        <f t="shared" si="3"/>
        <v>50328.832300000387</v>
      </c>
    </row>
    <row r="202" spans="1:4">
      <c r="A202" s="3" t="str" vm="191">
        <f>CUBEMEMBER("xlextdat9 Adventure Works DW Adventure Works","[Product].[Product Categories].[Product Name].&amp;[488]")</f>
        <v>Short-Sleeve Classic Jersey, S</v>
      </c>
      <c r="B202" s="1"/>
      <c r="C202" s="1" t="e">
        <f>CUBEMEMBERPROPERTY("xlextdat9 Adventure Works DW Adventure Works","[Product].[Product Categories].[Product Name].&amp;[488]","Color")</f>
        <v>#N/A</v>
      </c>
      <c r="D202" vm="483">
        <f t="shared" si="3"/>
        <v>71606.07320000013</v>
      </c>
    </row>
    <row r="203" spans="1:4">
      <c r="A203" s="3" t="str" vm="190">
        <f>CUBEMEMBER("xlextdat9 Adventure Works DW Adventure Works","[Product].[Product Categories].[Product Name].&amp;[489]")</f>
        <v>Short-Sleeve Classic Jersey, M</v>
      </c>
      <c r="B203" s="1"/>
      <c r="C203" s="1" t="e">
        <f>CUBEMEMBERPROPERTY("xlextdat9 Adventure Works DW Adventure Works","[Product].[Product Categories].[Product Name].&amp;[489]","Color")</f>
        <v>#N/A</v>
      </c>
      <c r="D203" vm="680">
        <f t="shared" si="3"/>
        <v>21973.929999999931</v>
      </c>
    </row>
    <row r="204" spans="1:4">
      <c r="A204" s="3" t="str" vm="189">
        <f>CUBEMEMBER("xlextdat9 Adventure Works DW Adventure Works","[Product].[Product Categories].[Product Name].&amp;[490]")</f>
        <v>Short-Sleeve Classic Jersey, L</v>
      </c>
      <c r="B204" s="1"/>
      <c r="C204" s="1" t="e">
        <f>CUBEMEMBERPROPERTY("xlextdat9 Adventure Works DW Adventure Works","[Product].[Product Categories].[Product Name].&amp;[490]","Color")</f>
        <v>#N/A</v>
      </c>
      <c r="D204" vm="482">
        <f t="shared" si="3"/>
        <v>98472.717299999582</v>
      </c>
    </row>
    <row r="205" spans="1:4">
      <c r="A205" s="3" t="str" vm="188">
        <f>CUBEMEMBER("xlextdat9 Adventure Works DW Adventure Works","[Product].[Product Categories].[Product Name].&amp;[491]")</f>
        <v>Short-Sleeve Classic Jersey, XL</v>
      </c>
      <c r="B205" s="1"/>
      <c r="C205" s="1" t="e">
        <f>CUBEMEMBERPROPERTY("xlextdat9 Adventure Works DW Adventure Works","[Product].[Product Categories].[Product Name].&amp;[491]","Color")</f>
        <v>#N/A</v>
      </c>
      <c r="D205" vm="679">
        <f t="shared" si="3"/>
        <v>129145.57049999994</v>
      </c>
    </row>
    <row r="206" spans="1:4">
      <c r="A206" s="2" t="str" vm="187">
        <f>CUBEMEMBER("xlextdat9 Adventure Works DW Adventure Works","[Product].[Product Categories].[Subcategory].&amp;[22]")</f>
        <v>Shorts</v>
      </c>
      <c r="B206" s="1" t="e">
        <f>CUBEMEMBERPROPERTY("xlextdat9 Adventure Works DW Adventure Works","[Product].[Product Categories].[Subcategory].&amp;[22]","Category")</f>
        <v>#N/A</v>
      </c>
      <c r="D206" vm="481">
        <f t="shared" si="3"/>
        <v>413522.52699999639</v>
      </c>
    </row>
    <row r="207" spans="1:4">
      <c r="A207" s="3" t="str" vm="186">
        <f>CUBEMEMBER("xlextdat9 Adventure Works DW Adventure Works","[Product].[Product Categories].[Product Name].&amp;[445]")</f>
        <v>Men's Sports Shorts, S</v>
      </c>
      <c r="B207" s="1"/>
      <c r="C207" s="1" t="e">
        <f>CUBEMEMBERPROPERTY("xlextdat9 Adventure Works DW Adventure Works","[Product].[Product Categories].[Product Name].&amp;[445]","Color")</f>
        <v>#N/A</v>
      </c>
      <c r="D207" vm="678">
        <f t="shared" si="3"/>
        <v>20364.997299999992</v>
      </c>
    </row>
    <row r="208" spans="1:4">
      <c r="A208" s="3" t="str" vm="185">
        <f>CUBEMEMBER("xlextdat9 Adventure Works DW Adventure Works","[Product].[Product Categories].[Product Name].&amp;[453]")</f>
        <v>Men's Sports Shorts, M</v>
      </c>
      <c r="B208" s="1"/>
      <c r="C208" s="1" t="e">
        <f>CUBEMEMBERPROPERTY("xlextdat9 Adventure Works DW Adventure Works","[Product].[Product Categories].[Product Name].&amp;[453]","Color")</f>
        <v>#N/A</v>
      </c>
      <c r="D208" vm="480">
        <f t="shared" si="3"/>
        <v>45516.296799999989</v>
      </c>
    </row>
    <row r="209" spans="1:4">
      <c r="A209" s="3" t="str" vm="184">
        <f>CUBEMEMBER("xlextdat9 Adventure Works DW Adventure Works","[Product].[Product Categories].[Product Name].&amp;[454]")</f>
        <v>Men's Sports Shorts, L</v>
      </c>
      <c r="B209" s="1"/>
      <c r="C209" s="1" t="e">
        <f>CUBEMEMBERPROPERTY("xlextdat9 Adventure Works DW Adventure Works","[Product].[Product Categories].[Product Name].&amp;[454]","Color")</f>
        <v>#N/A</v>
      </c>
      <c r="D209" vm="677">
        <f t="shared" si="3"/>
        <v>16017.329999999994</v>
      </c>
    </row>
    <row r="210" spans="1:4">
      <c r="A210" s="3" t="str" vm="183">
        <f>CUBEMEMBER("xlextdat9 Adventure Works DW Adventure Works","[Product].[Product Categories].[Product Name].&amp;[474]")</f>
        <v>Women's Mountain Shorts, S</v>
      </c>
      <c r="B210" s="1"/>
      <c r="C210" s="1" t="e">
        <f>CUBEMEMBERPROPERTY("xlextdat9 Adventure Works DW Adventure Works","[Product].[Product Categories].[Product Name].&amp;[474]","Color")</f>
        <v>#N/A</v>
      </c>
      <c r="D210" vm="479">
        <f t="shared" si="3"/>
        <v>137164.12770000019</v>
      </c>
    </row>
    <row r="211" spans="1:4">
      <c r="A211" s="3" t="str" vm="182">
        <f>CUBEMEMBER("xlextdat9 Adventure Works DW Adventure Works","[Product].[Product Categories].[Product Name].&amp;[475]")</f>
        <v>Women's Mountain Shorts, M</v>
      </c>
      <c r="B211" s="1"/>
      <c r="C211" s="1" t="e">
        <f>CUBEMEMBERPROPERTY("xlextdat9 Adventure Works DW Adventure Works","[Product].[Product Categories].[Product Name].&amp;[475]","Color")</f>
        <v>#N/A</v>
      </c>
      <c r="D211" vm="676">
        <f t="shared" si="3"/>
        <v>57685.75800000038</v>
      </c>
    </row>
    <row r="212" spans="1:4">
      <c r="A212" s="3" t="str" vm="181">
        <f>CUBEMEMBER("xlextdat9 Adventure Works DW Adventure Works","[Product].[Product Categories].[Product Name].&amp;[476]")</f>
        <v>Women's Mountain Shorts, L</v>
      </c>
      <c r="B212" s="1"/>
      <c r="C212" s="1" t="e">
        <f>CUBEMEMBERPROPERTY("xlextdat9 Adventure Works DW Adventure Works","[Product].[Product Categories].[Product Name].&amp;[476]","Color")</f>
        <v>#N/A</v>
      </c>
      <c r="D212" vm="478">
        <f t="shared" si="3"/>
        <v>136774.01720000012</v>
      </c>
    </row>
    <row r="213" spans="1:4">
      <c r="A213" s="2" t="str" vm="180">
        <f>CUBEMEMBER("xlextdat9 Adventure Works DW Adventure Works","[Product].[Product Categories].[Subcategory].&amp;[23]")</f>
        <v>Socks</v>
      </c>
      <c r="B213" s="1" t="e">
        <f>CUBEMEMBERPROPERTY("xlextdat9 Adventure Works DW Adventure Works","[Product].[Product Categories].[Subcategory].&amp;[23]","Category")</f>
        <v>#N/A</v>
      </c>
      <c r="D213" vm="675">
        <f t="shared" si="3"/>
        <v>29745.128099999871</v>
      </c>
    </row>
    <row r="214" spans="1:4">
      <c r="A214" s="3" t="str" vm="179">
        <f>CUBEMEMBER("xlextdat9 Adventure Works DW Adventure Works","[Product].[Product Categories].[Product Name].&amp;[218]")</f>
        <v>Mountain Bike Socks, M</v>
      </c>
      <c r="B214" s="1"/>
      <c r="C214" s="1" t="e">
        <f>CUBEMEMBERPROPERTY("xlextdat9 Adventure Works DW Adventure Works","[Product].[Product Categories].[Product Name].&amp;[218]","Color")</f>
        <v>#N/A</v>
      </c>
      <c r="D214" vm="477">
        <f t="shared" si="3"/>
        <v>6060.3884000000007</v>
      </c>
    </row>
    <row r="215" spans="1:4">
      <c r="A215" s="3" t="str" vm="178">
        <f>CUBEMEMBER("xlextdat9 Adventure Works DW Adventure Works","[Product].[Product Categories].[Product Name].&amp;[219]")</f>
        <v>Mountain Bike Socks, L</v>
      </c>
      <c r="B215" s="1"/>
      <c r="C215" s="1" t="e">
        <f>CUBEMEMBERPROPERTY("xlextdat9 Adventure Works DW Adventure Works","[Product].[Product Categories].[Product Name].&amp;[219]","Color")</f>
        <v>#N/A</v>
      </c>
      <c r="D215" vm="674">
        <f t="shared" si="3"/>
        <v>512.99999999999989</v>
      </c>
    </row>
    <row r="216" spans="1:4">
      <c r="A216" s="3" t="str" vm="177">
        <f>CUBEMEMBER("xlextdat9 Adventure Works DW Adventure Works","[Product].[Product Categories].[Product Name].&amp;[481]")</f>
        <v>Racing Socks, M</v>
      </c>
      <c r="B216" s="1"/>
      <c r="C216" s="1" t="e">
        <f>CUBEMEMBERPROPERTY("xlextdat9 Adventure Works DW Adventure Works","[Product].[Product Categories].[Product Name].&amp;[481]","Color")</f>
        <v>#N/A</v>
      </c>
      <c r="D216" vm="476">
        <f t="shared" si="3"/>
        <v>9387.1493999999366</v>
      </c>
    </row>
    <row r="217" spans="1:4">
      <c r="A217" s="3" t="str" vm="176">
        <f>CUBEMEMBER("xlextdat9 Adventure Works DW Adventure Works","[Product].[Product Categories].[Product Name].&amp;[482]")</f>
        <v>Racing Socks, L</v>
      </c>
      <c r="B217" s="1"/>
      <c r="C217" s="1" t="e">
        <f>CUBEMEMBERPROPERTY("xlextdat9 Adventure Works DW Adventure Works","[Product].[Product Categories].[Product Name].&amp;[482]","Color")</f>
        <v>#N/A</v>
      </c>
      <c r="D217" vm="673">
        <f t="shared" si="3"/>
        <v>13784.590299999938</v>
      </c>
    </row>
    <row r="218" spans="1:4">
      <c r="A218" s="2" t="str" vm="175">
        <f>CUBEMEMBER("xlextdat9 Adventure Works DW Adventure Works","[Product].[Product Categories].[Subcategory].&amp;[24]")</f>
        <v>Tights</v>
      </c>
      <c r="B218" s="1" t="e">
        <f>CUBEMEMBERPROPERTY("xlextdat9 Adventure Works DW Adventure Works","[Product].[Product Categories].[Subcategory].&amp;[24]","Category")</f>
        <v>#N/A</v>
      </c>
      <c r="D218" vm="475">
        <f t="shared" si="3"/>
        <v>201833.00600000005</v>
      </c>
    </row>
    <row r="219" spans="1:4">
      <c r="A219" s="3" t="str" vm="174">
        <f>CUBEMEMBER("xlextdat9 Adventure Works DW Adventure Works","[Product].[Product Categories].[Product Name].&amp;[456]")</f>
        <v>Women's Tights, S</v>
      </c>
      <c r="B219" s="1"/>
      <c r="C219" s="1" t="e">
        <f>CUBEMEMBERPROPERTY("xlextdat9 Adventure Works DW Adventure Works","[Product].[Product Categories].[Product Name].&amp;[456]","Color")</f>
        <v>#N/A</v>
      </c>
      <c r="D219" vm="672">
        <f t="shared" si="3"/>
        <v>90550.905300000013</v>
      </c>
    </row>
    <row r="220" spans="1:4">
      <c r="A220" s="3" t="str" vm="173">
        <f>CUBEMEMBER("xlextdat9 Adventure Works DW Adventure Works","[Product].[Product Categories].[Product Name].&amp;[457]")</f>
        <v>Women's Tights, M</v>
      </c>
      <c r="B220" s="1"/>
      <c r="C220" s="1" t="e">
        <f>CUBEMEMBERPROPERTY("xlextdat9 Adventure Works DW Adventure Works","[Product].[Product Categories].[Product Name].&amp;[457]","Color")</f>
        <v>#N/A</v>
      </c>
      <c r="D220" vm="474">
        <f t="shared" si="3"/>
        <v>17727.635999999995</v>
      </c>
    </row>
    <row r="221" spans="1:4">
      <c r="A221" s="3" t="str" vm="172">
        <f>CUBEMEMBER("xlextdat9 Adventure Works DW Adventure Works","[Product].[Product Categories].[Product Name].&amp;[458]")</f>
        <v>Women's Tights, L</v>
      </c>
      <c r="B221" s="1"/>
      <c r="C221" s="1" t="e">
        <f>CUBEMEMBERPROPERTY("xlextdat9 Adventure Works DW Adventure Works","[Product].[Product Categories].[Product Name].&amp;[458]","Color")</f>
        <v>#N/A</v>
      </c>
      <c r="D221" vm="671">
        <f t="shared" si="3"/>
        <v>93554.464700000011</v>
      </c>
    </row>
    <row r="222" spans="1:4">
      <c r="A222" s="2" t="str" vm="171">
        <f>CUBEMEMBER("xlextdat9 Adventure Works DW Adventure Works","[Product].[Product Categories].[Subcategory].&amp;[25]")</f>
        <v>Vests</v>
      </c>
      <c r="B222" s="1" t="e">
        <f>CUBEMEMBERPROPERTY("xlextdat9 Adventure Works DW Adventure Works","[Product].[Product Categories].[Subcategory].&amp;[25]","Category")</f>
        <v>#N/A</v>
      </c>
      <c r="D222" vm="473">
        <f t="shared" si="3"/>
        <v>259488.37069999991</v>
      </c>
    </row>
    <row r="223" spans="1:4">
      <c r="A223" s="3" t="str" vm="170">
        <f>CUBEMEMBER("xlextdat9 Adventure Works DW Adventure Works","[Product].[Product Categories].[Product Name].&amp;[471]")</f>
        <v>Classic Vest, S</v>
      </c>
      <c r="B223" s="1"/>
      <c r="C223" s="1" t="e">
        <f>CUBEMEMBERPROPERTY("xlextdat9 Adventure Works DW Adventure Works","[Product].[Product Categories].[Product Name].&amp;[471]","Color")</f>
        <v>#N/A</v>
      </c>
      <c r="D223" vm="670">
        <f t="shared" si="3"/>
        <v>156398.06969999999</v>
      </c>
    </row>
    <row r="224" spans="1:4">
      <c r="A224" s="3" t="str" vm="169">
        <f>CUBEMEMBER("xlextdat9 Adventure Works DW Adventure Works","[Product].[Product Categories].[Product Name].&amp;[472]")</f>
        <v>Classic Vest, M</v>
      </c>
      <c r="B224" s="1"/>
      <c r="C224" s="1" t="e">
        <f>CUBEMEMBERPROPERTY("xlextdat9 Adventure Works DW Adventure Works","[Product].[Product Categories].[Product Name].&amp;[472]","Color")</f>
        <v>#N/A</v>
      </c>
      <c r="D224" vm="472">
        <f t="shared" si="3"/>
        <v>90250.600999999995</v>
      </c>
    </row>
    <row r="225" spans="1:4">
      <c r="A225" s="3" t="str" vm="168">
        <f>CUBEMEMBER("xlextdat9 Adventure Works DW Adventure Works","[Product].[Product Categories].[Product Name].&amp;[473]")</f>
        <v>Classic Vest, L</v>
      </c>
      <c r="B225" s="1"/>
      <c r="C225" s="1" t="e">
        <f>CUBEMEMBERPROPERTY("xlextdat9 Adventure Works DW Adventure Works","[Product].[Product Categories].[Product Name].&amp;[473]","Color")</f>
        <v>#N/A</v>
      </c>
      <c r="D225" vm="669">
        <f t="shared" si="3"/>
        <v>12839.7</v>
      </c>
    </row>
    <row r="226" spans="1:4">
      <c r="A226" s="1" t="str" vm="167">
        <f>CUBEMEMBER("xlextdat9 Adventure Works DW Adventure Works","[Product].[Product Categories].[Category].&amp;[2]")</f>
        <v>Components</v>
      </c>
      <c r="D226" vm="471">
        <f t="shared" si="3"/>
        <v>11799076.658399984</v>
      </c>
    </row>
    <row r="227" spans="1:4">
      <c r="A227" s="2" t="str" vm="166">
        <f>CUBEMEMBER("xlextdat9 Adventure Works DW Adventure Works","[Product].[Product Categories].[Subcategory].&amp;[5]")</f>
        <v>Bottom Brackets</v>
      </c>
      <c r="B227" s="1" t="e">
        <f>CUBEMEMBERPROPERTY("xlextdat9 Adventure Works DW Adventure Works","[Product].[Product Categories].[Subcategory].&amp;[5]","Category")</f>
        <v>#N/A</v>
      </c>
      <c r="D227" vm="668">
        <f t="shared" si="3"/>
        <v>51826.374000000025</v>
      </c>
    </row>
    <row r="228" spans="1:4">
      <c r="A228" s="3" t="str" vm="165">
        <f>CUBEMEMBER("xlextdat9 Adventure Works DW Adventure Works","[Product].[Product Categories].[Product Name].&amp;[601]")</f>
        <v>LL Bottom Bracket</v>
      </c>
      <c r="B228" s="1"/>
      <c r="C228" s="1" t="e">
        <f>CUBEMEMBERPROPERTY("xlextdat9 Adventure Works DW Adventure Works","[Product].[Product Categories].[Product Name].&amp;[601]","Color")</f>
        <v>#N/A</v>
      </c>
      <c r="D228" vm="470">
        <f t="shared" si="3"/>
        <v>12244.931999999997</v>
      </c>
    </row>
    <row r="229" spans="1:4">
      <c r="A229" s="3" t="str" vm="164">
        <f>CUBEMEMBER("xlextdat9 Adventure Works DW Adventure Works","[Product].[Product Categories].[Product Name].&amp;[603]")</f>
        <v>HL Bottom Bracket</v>
      </c>
      <c r="B229" s="1"/>
      <c r="C229" s="1" t="e">
        <f>CUBEMEMBERPROPERTY("xlextdat9 Adventure Works DW Adventure Works","[Product].[Product Categories].[Product Name].&amp;[603]","Color")</f>
        <v>#N/A</v>
      </c>
      <c r="D229" vm="667">
        <f t="shared" si="3"/>
        <v>39581.442000000017</v>
      </c>
    </row>
    <row r="230" spans="1:4">
      <c r="A230" s="2" t="str" vm="163">
        <f>CUBEMEMBER("xlextdat9 Adventure Works DW Adventure Works","[Product].[Product Categories].[Subcategory].&amp;[6]")</f>
        <v>Brakes</v>
      </c>
      <c r="B230" s="1" t="e">
        <f>CUBEMEMBERPROPERTY("xlextdat9 Adventure Works DW Adventure Works","[Product].[Product Categories].[Subcategory].&amp;[6]","Category")</f>
        <v>#N/A</v>
      </c>
      <c r="D230" vm="469">
        <f t="shared" si="3"/>
        <v>66018.711000000025</v>
      </c>
    </row>
    <row r="231" spans="1:4">
      <c r="A231" s="3" t="str" vm="162">
        <f>CUBEMEMBER("xlextdat9 Adventure Works DW Adventure Works","[Product].[Product Categories].[Product Name].&amp;[514]")</f>
        <v>Rear Brakes</v>
      </c>
      <c r="B231" s="1"/>
      <c r="C231" s="1" t="e">
        <f>CUBEMEMBERPROPERTY("xlextdat9 Adventure Works DW Adventure Works","[Product].[Product Categories].[Product Name].&amp;[514]","Color")</f>
        <v>#N/A</v>
      </c>
      <c r="D231" vm="666">
        <f t="shared" si="3"/>
        <v>15719.399999999998</v>
      </c>
    </row>
    <row r="232" spans="1:4">
      <c r="A232" s="3" t="str" vm="161">
        <f>CUBEMEMBER("xlextdat9 Adventure Works DW Adventure Works","[Product].[Product Categories].[Product Name].&amp;[555]")</f>
        <v>Front Brakes</v>
      </c>
      <c r="B232" s="1"/>
      <c r="C232" s="1" t="e">
        <f>CUBEMEMBERPROPERTY("xlextdat9 Adventure Works DW Adventure Works","[Product].[Product Categories].[Product Name].&amp;[555]","Color")</f>
        <v>#N/A</v>
      </c>
      <c r="D232" vm="468">
        <f t="shared" si="3"/>
        <v>50299.311000000002</v>
      </c>
    </row>
    <row r="233" spans="1:4">
      <c r="A233" s="2" t="str" vm="160">
        <f>CUBEMEMBER("xlextdat9 Adventure Works DW Adventure Works","[Product].[Product Categories].[Subcategory].&amp;[7]")</f>
        <v>Chains</v>
      </c>
      <c r="B233" s="1" t="e">
        <f>CUBEMEMBERPROPERTY("xlextdat9 Adventure Works DW Adventure Works","[Product].[Product Categories].[Subcategory].&amp;[7]","Category")</f>
        <v>#N/A</v>
      </c>
      <c r="D233" vm="665">
        <f t="shared" si="3"/>
        <v>9377.7101999999977</v>
      </c>
    </row>
    <row r="234" spans="1:4">
      <c r="A234" s="3" t="str" vm="159">
        <f>CUBEMEMBER("xlextdat9 Adventure Works DW Adventure Works","[Product].[Product Categories].[Product Name].&amp;[559]")</f>
        <v>Chain</v>
      </c>
      <c r="B234" s="1"/>
      <c r="C234" s="1" t="e">
        <f>CUBEMEMBERPROPERTY("xlextdat9 Adventure Works DW Adventure Works","[Product].[Product Categories].[Product Name].&amp;[559]","Color")</f>
        <v>#N/A</v>
      </c>
      <c r="D234" vm="467">
        <f t="shared" si="3"/>
        <v>9377.7101999999977</v>
      </c>
    </row>
    <row r="235" spans="1:4">
      <c r="A235" s="2" t="str" vm="158">
        <f>CUBEMEMBER("xlextdat9 Adventure Works DW Adventure Works","[Product].[Product Categories].[Subcategory].&amp;[8]")</f>
        <v>Cranksets</v>
      </c>
      <c r="B235" s="1" t="e">
        <f>CUBEMEMBERPROPERTY("xlextdat9 Adventure Works DW Adventure Works","[Product].[Product Categories].[Subcategory].&amp;[8]","Category")</f>
        <v>#N/A</v>
      </c>
      <c r="D235" vm="664">
        <f t="shared" si="3"/>
        <v>203942.61820000003</v>
      </c>
    </row>
    <row r="236" spans="1:4">
      <c r="A236" s="3" t="str" vm="157">
        <f>CUBEMEMBER("xlextdat9 Adventure Works DW Adventure Works","[Product].[Product Categories].[Product Name].&amp;[556]")</f>
        <v>LL Crankset</v>
      </c>
      <c r="B236" s="1"/>
      <c r="C236" s="1" t="e">
        <f>CUBEMEMBERPROPERTY("xlextdat9 Adventure Works DW Adventure Works","[Product].[Product Categories].[Product Name].&amp;[556]","Color")</f>
        <v>#N/A</v>
      </c>
      <c r="D236" vm="466">
        <f t="shared" si="3"/>
        <v>44855.244000000013</v>
      </c>
    </row>
    <row r="237" spans="1:4">
      <c r="A237" s="3" t="str" vm="156">
        <f>CUBEMEMBER("xlextdat9 Adventure Works DW Adventure Works","[Product].[Product Categories].[Product Name].&amp;[557]")</f>
        <v>ML Crankset</v>
      </c>
      <c r="B237" s="1"/>
      <c r="C237" s="1" t="e">
        <f>CUBEMEMBERPROPERTY("xlextdat9 Adventure Works DW Adventure Works","[Product].[Product Categories].[Product Name].&amp;[557]","Color")</f>
        <v>#N/A</v>
      </c>
      <c r="D237" vm="663">
        <f t="shared" si="3"/>
        <v>10464.792000000001</v>
      </c>
    </row>
    <row r="238" spans="1:4">
      <c r="A238" s="3" t="str" vm="155">
        <f>CUBEMEMBER("xlextdat9 Adventure Works DW Adventure Works","[Product].[Product Categories].[Product Name].&amp;[558]")</f>
        <v>HL Crankset</v>
      </c>
      <c r="B238" s="1"/>
      <c r="C238" s="1" t="e">
        <f>CUBEMEMBERPROPERTY("xlextdat9 Adventure Works DW Adventure Works","[Product].[Product Categories].[Product Name].&amp;[558]","Color")</f>
        <v>#N/A</v>
      </c>
      <c r="D238" vm="465">
        <f t="shared" si="3"/>
        <v>148622.5822</v>
      </c>
    </row>
    <row r="239" spans="1:4">
      <c r="A239" s="2" t="str" vm="154">
        <f>CUBEMEMBER("xlextdat9 Adventure Works DW Adventure Works","[Product].[Product Categories].[Subcategory].&amp;[9]")</f>
        <v>Derailleurs</v>
      </c>
      <c r="B239" s="1" t="e">
        <f>CUBEMEMBERPROPERTY("xlextdat9 Adventure Works DW Adventure Works","[Product].[Product Categories].[Subcategory].&amp;[9]","Category")</f>
        <v>#N/A</v>
      </c>
      <c r="D239" vm="662">
        <f t="shared" si="3"/>
        <v>70209.495800000033</v>
      </c>
    </row>
    <row r="240" spans="1:4">
      <c r="A240" s="3" t="str" vm="153">
        <f>CUBEMEMBER("xlextdat9 Adventure Works DW Adventure Works","[Product].[Product Categories].[Product Name].&amp;[501]")</f>
        <v>Rear Derailleur</v>
      </c>
      <c r="B240" s="1"/>
      <c r="C240" s="1" t="e">
        <f>CUBEMEMBERPROPERTY("xlextdat9 Adventure Works DW Adventure Works","[Product].[Product Categories].[Product Name].&amp;[501]","Color")</f>
        <v>#N/A</v>
      </c>
      <c r="D240" vm="464">
        <f t="shared" si="3"/>
        <v>25725.22800000001</v>
      </c>
    </row>
    <row r="241" spans="1:4">
      <c r="A241" s="3" t="str" vm="152">
        <f>CUBEMEMBER("xlextdat9 Adventure Works DW Adventure Works","[Product].[Product Categories].[Product Name].&amp;[552]")</f>
        <v>Front Derailleur</v>
      </c>
      <c r="B241" s="1"/>
      <c r="C241" s="1" t="e">
        <f>CUBEMEMBERPROPERTY("xlextdat9 Adventure Works DW Adventure Works","[Product].[Product Categories].[Product Name].&amp;[552]","Color")</f>
        <v>#N/A</v>
      </c>
      <c r="D241" vm="661">
        <f t="shared" si="3"/>
        <v>44484.267800000001</v>
      </c>
    </row>
    <row r="242" spans="1:4">
      <c r="A242" s="2" t="str" vm="151">
        <f>CUBEMEMBER("xlextdat9 Adventure Works DW Adventure Works","[Product].[Product Categories].[Subcategory].&amp;[10]")</f>
        <v>Forks</v>
      </c>
      <c r="B242" s="1" t="e">
        <f>CUBEMEMBERPROPERTY("xlextdat9 Adventure Works DW Adventure Works","[Product].[Product Categories].[Subcategory].&amp;[10]","Category")</f>
        <v>#N/A</v>
      </c>
      <c r="D242" vm="463">
        <f t="shared" si="3"/>
        <v>77931.689600000012</v>
      </c>
    </row>
    <row r="243" spans="1:4">
      <c r="A243" s="3" t="str" vm="150">
        <f>CUBEMEMBER("xlextdat9 Adventure Works DW Adventure Works","[Product].[Product Categories].[Product Name].&amp;[391]")</f>
        <v>LL Fork</v>
      </c>
      <c r="B243" s="1"/>
      <c r="C243" s="1" t="e">
        <f>CUBEMEMBERPROPERTY("xlextdat9 Adventure Works DW Adventure Works","[Product].[Product Categories].[Product Name].&amp;[391]","Color")</f>
        <v>#N/A</v>
      </c>
      <c r="D243" vm="660">
        <f t="shared" si="3"/>
        <v>16897.080000000002</v>
      </c>
    </row>
    <row r="244" spans="1:4">
      <c r="A244" s="3" t="str" vm="149">
        <f>CUBEMEMBER("xlextdat9 Adventure Works DW Adventure Works","[Product].[Product Categories].[Product Name].&amp;[393]")</f>
        <v>HL Fork</v>
      </c>
      <c r="B244" s="1"/>
      <c r="C244" s="1" t="e">
        <f>CUBEMEMBERPROPERTY("xlextdat9 Adventure Works DW Adventure Works","[Product].[Product Categories].[Product Name].&amp;[393]","Color")</f>
        <v>#N/A</v>
      </c>
      <c r="D244" vm="462">
        <f t="shared" si="3"/>
        <v>61034.609600000011</v>
      </c>
    </row>
    <row r="245" spans="1:4">
      <c r="A245" s="2" t="str" vm="148">
        <f>CUBEMEMBER("xlextdat9 Adventure Works DW Adventure Works","[Product].[Product Categories].[Subcategory].&amp;[4]")</f>
        <v>Handlebars</v>
      </c>
      <c r="B245" s="1" t="e">
        <f>CUBEMEMBERPROPERTY("xlextdat9 Adventure Works DW Adventure Works","[Product].[Product Categories].[Subcategory].&amp;[4]","Category")</f>
        <v>#N/A</v>
      </c>
      <c r="D245" vm="659">
        <f t="shared" si="3"/>
        <v>170591.32089999988</v>
      </c>
    </row>
    <row r="246" spans="1:4">
      <c r="A246" s="3" t="str" vm="147">
        <f>CUBEMEMBER("xlextdat9 Adventure Works DW Adventure Works","[Product].[Product Categories].[Product Name].&amp;[397]")</f>
        <v>LL Mountain Handlebars</v>
      </c>
      <c r="B246" s="1"/>
      <c r="C246" s="1" t="e">
        <f>CUBEMEMBERPROPERTY("xlextdat9 Adventure Works DW Adventure Works","[Product].[Product Categories].[Product Name].&amp;[397]","Color")</f>
        <v>#N/A</v>
      </c>
      <c r="D246" vm="461">
        <f t="shared" si="3"/>
        <v>10203.689999999995</v>
      </c>
    </row>
    <row r="247" spans="1:4">
      <c r="A247" s="3" t="str" vm="146">
        <f>CUBEMEMBER("xlextdat9 Adventure Works DW Adventure Works","[Product].[Product Categories].[Product Name].&amp;[398]")</f>
        <v>LL Mountain Handlebars</v>
      </c>
      <c r="B247" s="1"/>
      <c r="C247" s="1" t="e">
        <f>CUBEMEMBERPROPERTY("xlextdat9 Adventure Works DW Adventure Works","[Product].[Product Categories].[Product Name].&amp;[398]","Color")</f>
        <v>#N/A</v>
      </c>
      <c r="D247" vm="658">
        <f t="shared" si="3"/>
        <v>11804.578700000002</v>
      </c>
    </row>
    <row r="248" spans="1:4">
      <c r="A248" s="3" t="str" vm="145">
        <f>CUBEMEMBER("xlextdat9 Adventure Works DW Adventure Works","[Product].[Product Categories].[Product Name].&amp;[399]")</f>
        <v>ML Mountain Handlebars</v>
      </c>
      <c r="B248" s="1"/>
      <c r="C248" s="1" t="e">
        <f>CUBEMEMBERPROPERTY("xlextdat9 Adventure Works DW Adventure Works","[Product].[Product Categories].[Product Name].&amp;[399]","Color")</f>
        <v>#N/A</v>
      </c>
      <c r="D248" vm="460">
        <f t="shared" si="3"/>
        <v>25761.027400000006</v>
      </c>
    </row>
    <row r="249" spans="1:4">
      <c r="A249" s="3" t="str" vm="144">
        <f>CUBEMEMBER("xlextdat9 Adventure Works DW Adventure Works","[Product].[Product Categories].[Product Name].&amp;[400]")</f>
        <v>ML Mountain Handlebars</v>
      </c>
      <c r="B249" s="1"/>
      <c r="C249" s="1" t="e">
        <f>CUBEMEMBERPROPERTY("xlextdat9 Adventure Works DW Adventure Works","[Product].[Product Categories].[Product Name].&amp;[400]","Color")</f>
        <v>#N/A</v>
      </c>
      <c r="D249" vm="657">
        <f t="shared" si="3"/>
        <v>25992.678500000016</v>
      </c>
    </row>
    <row r="250" spans="1:4">
      <c r="A250" s="3" t="str" vm="143">
        <f>CUBEMEMBER("xlextdat9 Adventure Works DW Adventure Works","[Product].[Product Categories].[Product Name].&amp;[401]")</f>
        <v>HL Mountain Handlebars</v>
      </c>
      <c r="B250" s="1"/>
      <c r="C250" s="1" t="e">
        <f>CUBEMEMBERPROPERTY("xlextdat9 Adventure Works DW Adventure Works","[Product].[Product Categories].[Product Name].&amp;[401]","Color")</f>
        <v>#N/A</v>
      </c>
      <c r="D250" vm="459">
        <f t="shared" si="3"/>
        <v>17056.468000000004</v>
      </c>
    </row>
    <row r="251" spans="1:4">
      <c r="A251" s="3" t="str" vm="142">
        <f>CUBEMEMBER("xlextdat9 Adventure Works DW Adventure Works","[Product].[Product Categories].[Product Name].&amp;[402]")</f>
        <v>HL Mountain Handlebars</v>
      </c>
      <c r="B251" s="1"/>
      <c r="C251" s="1" t="e">
        <f>CUBEMEMBERPROPERTY("xlextdat9 Adventure Works DW Adventure Works","[Product].[Product Categories].[Product Name].&amp;[402]","Color")</f>
        <v>#N/A</v>
      </c>
      <c r="D251" vm="656">
        <f t="shared" si="3"/>
        <v>17318.88</v>
      </c>
    </row>
    <row r="252" spans="1:4">
      <c r="A252" s="3" t="str" vm="141">
        <f>CUBEMEMBER("xlextdat9 Adventure Works DW Adventure Works","[Product].[Product Categories].[Product Name].&amp;[403]")</f>
        <v>LL Road Handlebars</v>
      </c>
      <c r="B252" s="1"/>
      <c r="C252" s="1" t="e">
        <f>CUBEMEMBERPROPERTY("xlextdat9 Adventure Works DW Adventure Works","[Product].[Product Categories].[Product Name].&amp;[403]","Color")</f>
        <v>#N/A</v>
      </c>
      <c r="D252" vm="458">
        <f t="shared" si="3"/>
        <v>2696.6894999999995</v>
      </c>
    </row>
    <row r="253" spans="1:4">
      <c r="A253" s="3" t="str" vm="140">
        <f>CUBEMEMBER("xlextdat9 Adventure Works DW Adventure Works","[Product].[Product Categories].[Product Name].&amp;[404]")</f>
        <v>LL Road Handlebars</v>
      </c>
      <c r="B253" s="1"/>
      <c r="C253" s="1" t="e">
        <f>CUBEMEMBERPROPERTY("xlextdat9 Adventure Works DW Adventure Works","[Product].[Product Categories].[Product Name].&amp;[404]","Color")</f>
        <v>#N/A</v>
      </c>
      <c r="D253" vm="655">
        <f t="shared" si="3"/>
        <v>2725.8480000000004</v>
      </c>
    </row>
    <row r="254" spans="1:4">
      <c r="A254" s="3" t="str" vm="139">
        <f>CUBEMEMBER("xlextdat9 Adventure Works DW Adventure Works","[Product].[Product Categories].[Product Name].&amp;[407]")</f>
        <v>HL Road Handlebars</v>
      </c>
      <c r="B254" s="1"/>
      <c r="C254" s="1" t="e">
        <f>CUBEMEMBERPROPERTY("xlextdat9 Adventure Works DW Adventure Works","[Product].[Product Categories].[Product Name].&amp;[407]","Color")</f>
        <v>#N/A</v>
      </c>
      <c r="D254" vm="457">
        <f t="shared" si="3"/>
        <v>21386.186800000003</v>
      </c>
    </row>
    <row r="255" spans="1:4">
      <c r="A255" s="3" t="str" vm="138">
        <f>CUBEMEMBER("xlextdat9 Adventure Works DW Adventure Works","[Product].[Product Categories].[Product Name].&amp;[408]")</f>
        <v>HL Road Handlebars</v>
      </c>
      <c r="B255" s="1"/>
      <c r="C255" s="1" t="e">
        <f>CUBEMEMBERPROPERTY("xlextdat9 Adventure Works DW Adventure Works","[Product].[Product Categories].[Product Name].&amp;[408]","Color")</f>
        <v>#N/A</v>
      </c>
      <c r="D255" vm="654">
        <f t="shared" si="3"/>
        <v>22009.410000000007</v>
      </c>
    </row>
    <row r="256" spans="1:4">
      <c r="A256" s="3" t="str" vm="137">
        <f>CUBEMEMBER("xlextdat9 Adventure Works DW Adventure Works","[Product].[Product Categories].[Product Name].&amp;[553]")</f>
        <v>LL Touring Handlebars</v>
      </c>
      <c r="B256" s="1"/>
      <c r="C256" s="1" t="e">
        <f>CUBEMEMBERPROPERTY("xlextdat9 Adventure Works DW Adventure Works","[Product].[Product Categories].[Product Name].&amp;[553]","Color")</f>
        <v>#N/A</v>
      </c>
      <c r="D256" vm="456">
        <f t="shared" si="3"/>
        <v>1548.624</v>
      </c>
    </row>
    <row r="257" spans="1:4">
      <c r="A257" s="3" t="str" vm="136">
        <f>CUBEMEMBER("xlextdat9 Adventure Works DW Adventure Works","[Product].[Product Categories].[Product Name].&amp;[554]")</f>
        <v>HL Touring Handlebars</v>
      </c>
      <c r="B257" s="1"/>
      <c r="C257" s="1" t="e">
        <f>CUBEMEMBERPROPERTY("xlextdat9 Adventure Works DW Adventure Works","[Product].[Product Categories].[Product Name].&amp;[554]","Color")</f>
        <v>#N/A</v>
      </c>
      <c r="D257" vm="653">
        <f t="shared" si="3"/>
        <v>12087.239999999998</v>
      </c>
    </row>
    <row r="258" spans="1:4">
      <c r="A258" s="2" t="str" vm="135">
        <f>CUBEMEMBER("xlextdat9 Adventure Works DW Adventure Works","[Product].[Product Categories].[Subcategory].&amp;[11]")</f>
        <v>Headsets</v>
      </c>
      <c r="B258" s="1" t="e">
        <f>CUBEMEMBERPROPERTY("xlextdat9 Adventure Works DW Adventure Works","[Product].[Product Categories].[Subcategory].&amp;[11]","Category")</f>
        <v>#N/A</v>
      </c>
      <c r="D258" vm="455">
        <f t="shared" ref="D258:D321" si="4">CUBEVALUE("xlextdat9 Adventure Works DW Adventure Works",$A258,D$1)</f>
        <v>60942.198399999979</v>
      </c>
    </row>
    <row r="259" spans="1:4">
      <c r="A259" s="3" t="str" vm="134">
        <f>CUBEMEMBER("xlextdat9 Adventure Works DW Adventure Works","[Product].[Product Categories].[Product Name].&amp;[394]")</f>
        <v>LL Headset</v>
      </c>
      <c r="B259" s="1"/>
      <c r="C259" s="1" t="e">
        <f>CUBEMEMBERPROPERTY("xlextdat9 Adventure Works DW Adventure Works","[Product].[Product Categories].[Product Name].&amp;[394]","Color")</f>
        <v>#N/A</v>
      </c>
      <c r="D259" vm="652">
        <f t="shared" si="4"/>
        <v>1949.3999999999992</v>
      </c>
    </row>
    <row r="260" spans="1:4">
      <c r="A260" s="3" t="str" vm="133">
        <f>CUBEMEMBER("xlextdat9 Adventure Works DW Adventure Works","[Product].[Product Categories].[Product Name].&amp;[395]")</f>
        <v>ML Headset</v>
      </c>
      <c r="B260" s="1"/>
      <c r="C260" s="1" t="e">
        <f>CUBEMEMBERPROPERTY("xlextdat9 Adventure Works DW Adventure Works","[Product].[Product Categories].[Product Name].&amp;[395]","Color")</f>
        <v>#N/A</v>
      </c>
      <c r="D260" vm="454">
        <f t="shared" si="4"/>
        <v>39909.108399999997</v>
      </c>
    </row>
    <row r="261" spans="1:4">
      <c r="A261" s="3" t="str" vm="132">
        <f>CUBEMEMBER("xlextdat9 Adventure Works DW Adventure Works","[Product].[Product Categories].[Product Name].&amp;[396]")</f>
        <v>HL Headset</v>
      </c>
      <c r="B261" s="1"/>
      <c r="C261" s="1" t="e">
        <f>CUBEMEMBERPROPERTY("xlextdat9 Adventure Works DW Adventure Works","[Product].[Product Categories].[Product Name].&amp;[396]","Color")</f>
        <v>#N/A</v>
      </c>
      <c r="D261" vm="651">
        <f t="shared" si="4"/>
        <v>19083.690000000002</v>
      </c>
    </row>
    <row r="262" spans="1:4">
      <c r="A262" s="2" t="str" vm="131">
        <f>CUBEMEMBER("xlextdat9 Adventure Works DW Adventure Works","[Product].[Product Categories].[Subcategory].&amp;[12]")</f>
        <v>Mountain Frames</v>
      </c>
      <c r="B262" s="1" t="e">
        <f>CUBEMEMBERPROPERTY("xlextdat9 Adventure Works DW Adventure Works","[Product].[Product Categories].[Subcategory].&amp;[12]","Category")</f>
        <v>#N/A</v>
      </c>
      <c r="D262" vm="453">
        <f t="shared" si="4"/>
        <v>4713672.1469000047</v>
      </c>
    </row>
    <row r="263" spans="1:4">
      <c r="A263" s="3" t="str" vm="130">
        <f>CUBEMEMBER("xlextdat9 Adventure Works DW Adventure Works","[Product].[Product Categories].[Product Name].&amp;[288]")</f>
        <v>HL Mountain Frame - Silver, 42</v>
      </c>
      <c r="B263" s="1"/>
      <c r="C263" s="1" t="e">
        <f>CUBEMEMBERPROPERTY("xlextdat9 Adventure Works DW Adventure Works","[Product].[Product Categories].[Product Name].&amp;[288]","Color")</f>
        <v>#N/A</v>
      </c>
      <c r="D263" vm="650">
        <f t="shared" si="4"/>
        <v>17342.277600000001</v>
      </c>
    </row>
    <row r="264" spans="1:4">
      <c r="A264" s="3" t="str" vm="129">
        <f>CUBEMEMBER("xlextdat9 Adventure Works DW Adventure Works","[Product].[Product Categories].[Product Name].&amp;[289]")</f>
        <v>HL Mountain Frame - Silver, 42</v>
      </c>
      <c r="B264" s="1"/>
      <c r="C264" s="1" t="e">
        <f>CUBEMEMBERPROPERTY("xlextdat9 Adventure Works DW Adventure Works","[Product].[Product Categories].[Product Name].&amp;[289]","Color")</f>
        <v>#N/A</v>
      </c>
      <c r="D264" vm="452">
        <f t="shared" si="4"/>
        <v>119083.63200000006</v>
      </c>
    </row>
    <row r="265" spans="1:4">
      <c r="A265" s="3" t="str" vm="128">
        <f>CUBEMEMBER("xlextdat9 Adventure Works DW Adventure Works","[Product].[Product Categories].[Product Name].&amp;[290]")</f>
        <v>HL Mountain Frame - Silver, 42</v>
      </c>
      <c r="B265" s="1"/>
      <c r="C265" s="1" t="e">
        <f>CUBEMEMBERPROPERTY("xlextdat9 Adventure Works DW Adventure Works","[Product].[Product Categories].[Product Name].&amp;[290]","Color")</f>
        <v>#N/A</v>
      </c>
      <c r="D265" vm="649">
        <f t="shared" si="4"/>
        <v>133448.1</v>
      </c>
    </row>
    <row r="266" spans="1:4">
      <c r="A266" s="3" t="str" vm="127">
        <f>CUBEMEMBER("xlextdat9 Adventure Works DW Adventure Works","[Product].[Product Categories].[Product Name].&amp;[292]")</f>
        <v>HL Mountain Frame - Silver, 48</v>
      </c>
      <c r="B266" s="1"/>
      <c r="C266" s="1" t="e">
        <f>CUBEMEMBERPROPERTY("xlextdat9 Adventure Works DW Adventure Works","[Product].[Product Categories].[Product Name].&amp;[292]","Color")</f>
        <v>#N/A</v>
      </c>
      <c r="D266" vm="648">
        <f t="shared" si="4"/>
        <v>141635.09999999998</v>
      </c>
    </row>
    <row r="267" spans="1:4">
      <c r="A267" s="3" t="str" vm="126">
        <f>CUBEMEMBER("xlextdat9 Adventure Works DW Adventure Works","[Product].[Product Categories].[Product Name].&amp;[293]")</f>
        <v>HL Mountain Frame - Silver, 46</v>
      </c>
      <c r="B267" s="1"/>
      <c r="C267" s="1" t="e">
        <f>CUBEMEMBERPROPERTY("xlextdat9 Adventure Works DW Adventure Works","[Product].[Product Categories].[Product Name].&amp;[293]","Color")</f>
        <v>#N/A</v>
      </c>
      <c r="D267" vm="647">
        <f t="shared" si="4"/>
        <v>91769.55230000001</v>
      </c>
    </row>
    <row r="268" spans="1:4">
      <c r="A268" s="3" t="str" vm="125">
        <f>CUBEMEMBER("xlextdat9 Adventure Works DW Adventure Works","[Product].[Product Categories].[Product Name].&amp;[294]")</f>
        <v>HL Mountain Frame - Silver, 46</v>
      </c>
      <c r="B268" s="1"/>
      <c r="C268" s="1" t="e">
        <f>CUBEMEMBERPROPERTY("xlextdat9 Adventure Works DW Adventure Works","[Product].[Product Categories].[Product Name].&amp;[294]","Color")</f>
        <v>#N/A</v>
      </c>
      <c r="D268" vm="646">
        <f t="shared" si="4"/>
        <v>195743.72010000004</v>
      </c>
    </row>
    <row r="269" spans="1:4">
      <c r="A269" s="3" t="str" vm="124">
        <f>CUBEMEMBER("xlextdat9 Adventure Works DW Adventure Works","[Product].[Product Categories].[Product Name].&amp;[295]")</f>
        <v>HL Mountain Frame - Silver, 46</v>
      </c>
      <c r="B269" s="1"/>
      <c r="C269" s="1" t="e">
        <f>CUBEMEMBERPROPERTY("xlextdat9 Adventure Works DW Adventure Works","[Product].[Product Categories].[Product Name].&amp;[295]","Color")</f>
        <v>#N/A</v>
      </c>
      <c r="D269" vm="645">
        <f t="shared" si="4"/>
        <v>212043.29999999993</v>
      </c>
    </row>
    <row r="270" spans="1:4">
      <c r="A270" s="3" t="str" vm="123">
        <f>CUBEMEMBER("xlextdat9 Adventure Works DW Adventure Works","[Product].[Product Categories].[Product Name].&amp;[296]")</f>
        <v>HL Mountain Frame - Black, 42</v>
      </c>
      <c r="B270" s="1"/>
      <c r="C270" s="1" t="e">
        <f>CUBEMEMBERPROPERTY("xlextdat9 Adventure Works DW Adventure Works","[Product].[Product Categories].[Product Name].&amp;[296]","Color")</f>
        <v>#N/A</v>
      </c>
      <c r="D270" vm="644">
        <f t="shared" si="4"/>
        <v>126502.6611</v>
      </c>
    </row>
    <row r="271" spans="1:4">
      <c r="A271" s="3" t="str" vm="122">
        <f>CUBEMEMBER("xlextdat9 Adventure Works DW Adventure Works","[Product].[Product Categories].[Product Name].&amp;[297]")</f>
        <v>HL Mountain Frame - Black, 42</v>
      </c>
      <c r="B271" s="1"/>
      <c r="C271" s="1" t="e">
        <f>CUBEMEMBERPROPERTY("xlextdat9 Adventure Works DW Adventure Works","[Product].[Product Categories].[Product Name].&amp;[297]","Color")</f>
        <v>#N/A</v>
      </c>
      <c r="D271" vm="643">
        <f t="shared" si="4"/>
        <v>379114.9325</v>
      </c>
    </row>
    <row r="272" spans="1:4">
      <c r="A272" s="3" t="str" vm="121">
        <f>CUBEMEMBER("xlextdat9 Adventure Works DW Adventure Works","[Product].[Product Categories].[Product Name].&amp;[298]")</f>
        <v>HL Mountain Frame - Black, 42</v>
      </c>
      <c r="B272" s="1"/>
      <c r="C272" s="1" t="e">
        <f>CUBEMEMBERPROPERTY("xlextdat9 Adventure Works DW Adventure Works","[Product].[Product Categories].[Product Name].&amp;[298]","Color")</f>
        <v>#N/A</v>
      </c>
      <c r="D272" vm="642">
        <f t="shared" si="4"/>
        <v>395972.6399999999</v>
      </c>
    </row>
    <row r="273" spans="1:4">
      <c r="A273" s="3" t="str" vm="120">
        <f>CUBEMEMBER("xlextdat9 Adventure Works DW Adventure Works","[Product].[Product Categories].[Product Name].&amp;[299]")</f>
        <v>HL Mountain Frame - Black, 44</v>
      </c>
      <c r="B273" s="1"/>
      <c r="C273" s="1" t="e">
        <f>CUBEMEMBERPROPERTY("xlextdat9 Adventure Works DW Adventure Works","[Product].[Product Categories].[Product Name].&amp;[299]","Color")</f>
        <v>#N/A</v>
      </c>
      <c r="D273" vm="641">
        <f t="shared" si="4"/>
        <v>13765.92</v>
      </c>
    </row>
    <row r="274" spans="1:4">
      <c r="A274" s="3" t="str" vm="119">
        <f>CUBEMEMBER("xlextdat9 Adventure Works DW Adventure Works","[Product].[Product Categories].[Product Name].&amp;[300]")</f>
        <v>HL Mountain Frame - Black, 48</v>
      </c>
      <c r="B274" s="1"/>
      <c r="C274" s="1" t="e">
        <f>CUBEMEMBERPROPERTY("xlextdat9 Adventure Works DW Adventure Works","[Product].[Product Categories].[Product Name].&amp;[300]","Color")</f>
        <v>#N/A</v>
      </c>
      <c r="D274" vm="640">
        <f t="shared" si="4"/>
        <v>106078.56</v>
      </c>
    </row>
    <row r="275" spans="1:4">
      <c r="A275" s="3" t="str" vm="118">
        <f>CUBEMEMBER("xlextdat9 Adventure Works DW Adventure Works","[Product].[Product Categories].[Product Name].&amp;[304]")</f>
        <v>HL Mountain Frame - Black, 38</v>
      </c>
      <c r="B275" s="1"/>
      <c r="C275" s="1" t="e">
        <f>CUBEMEMBERPROPERTY("xlextdat9 Adventure Works DW Adventure Works","[Product].[Product Categories].[Product Name].&amp;[304]","Color")</f>
        <v>#N/A</v>
      </c>
      <c r="D275" vm="639">
        <f t="shared" si="4"/>
        <v>92196.854699999996</v>
      </c>
    </row>
    <row r="276" spans="1:4">
      <c r="A276" s="3" t="str" vm="117">
        <f>CUBEMEMBER("xlextdat9 Adventure Works DW Adventure Works","[Product].[Product Categories].[Product Name].&amp;[305]")</f>
        <v>HL Mountain Frame - Black, 38</v>
      </c>
      <c r="B276" s="1"/>
      <c r="C276" s="1" t="e">
        <f>CUBEMEMBERPROPERTY("xlextdat9 Adventure Works DW Adventure Works","[Product].[Product Categories].[Product Name].&amp;[305]","Color")</f>
        <v>#N/A</v>
      </c>
      <c r="D276" vm="638">
        <f t="shared" si="4"/>
        <v>195814.70299999998</v>
      </c>
    </row>
    <row r="277" spans="1:4">
      <c r="A277" s="3" t="str" vm="116">
        <f>CUBEMEMBER("xlextdat9 Adventure Works DW Adventure Works","[Product].[Product Categories].[Product Name].&amp;[306]")</f>
        <v>HL Mountain Frame - Black, 38</v>
      </c>
      <c r="B277" s="1"/>
      <c r="C277" s="1" t="e">
        <f>CUBEMEMBERPROPERTY("xlextdat9 Adventure Works DW Adventure Works","[Product].[Product Categories].[Product Name].&amp;[306]","Color")</f>
        <v>#N/A</v>
      </c>
      <c r="D277" vm="637">
        <f t="shared" si="4"/>
        <v>213776.64000000001</v>
      </c>
    </row>
    <row r="278" spans="1:4">
      <c r="A278" s="3" t="str" vm="115">
        <f>CUBEMEMBER("xlextdat9 Adventure Works DW Adventure Works","[Product].[Product Categories].[Product Name].&amp;[307]")</f>
        <v>HL Mountain Frame - Silver, 38</v>
      </c>
      <c r="B278" s="1"/>
      <c r="C278" s="1" t="e">
        <f>CUBEMEMBERPROPERTY("xlextdat9 Adventure Works DW Adventure Works","[Product].[Product Categories].[Product Name].&amp;[307]","Color")</f>
        <v>#N/A</v>
      </c>
      <c r="D278" vm="636">
        <f t="shared" si="4"/>
        <v>130789.67690000001</v>
      </c>
    </row>
    <row r="279" spans="1:4">
      <c r="A279" s="3" t="str" vm="114">
        <f>CUBEMEMBER("xlextdat9 Adventure Works DW Adventure Works","[Product].[Product Categories].[Product Name].&amp;[308]")</f>
        <v>HL Mountain Frame - Silver, 38</v>
      </c>
      <c r="B279" s="1"/>
      <c r="C279" s="1" t="e">
        <f>CUBEMEMBERPROPERTY("xlextdat9 Adventure Works DW Adventure Works","[Product].[Product Categories].[Product Name].&amp;[308]","Color")</f>
        <v>#N/A</v>
      </c>
      <c r="D279" vm="635">
        <f t="shared" si="4"/>
        <v>387021.80400000012</v>
      </c>
    </row>
    <row r="280" spans="1:4">
      <c r="A280" s="3" t="str" vm="113">
        <f>CUBEMEMBER("xlextdat9 Adventure Works DW Adventure Works","[Product].[Product Categories].[Product Name].&amp;[309]")</f>
        <v>HL Mountain Frame - Silver, 38</v>
      </c>
      <c r="B280" s="1"/>
      <c r="C280" s="1" t="e">
        <f>CUBEMEMBERPROPERTY("xlextdat9 Adventure Works DW Adventure Works","[Product].[Product Categories].[Product Name].&amp;[309]","Color")</f>
        <v>#N/A</v>
      </c>
      <c r="D280" vm="634">
        <f t="shared" si="4"/>
        <v>412969.1998</v>
      </c>
    </row>
    <row r="281" spans="1:4">
      <c r="A281" s="3" t="str" vm="112">
        <f>CUBEMEMBER("xlextdat9 Adventure Works DW Adventure Works","[Product].[Product Categories].[Product Name].&amp;[409]")</f>
        <v>ML Mountain Frame - Black, 38</v>
      </c>
      <c r="B281" s="1"/>
      <c r="C281" s="1" t="e">
        <f>CUBEMEMBERPROPERTY("xlextdat9 Adventure Works DW Adventure Works","[Product].[Product Categories].[Product Name].&amp;[409]","Color")</f>
        <v>#N/A</v>
      </c>
      <c r="D281" vm="633">
        <f t="shared" si="4"/>
        <v>107557.58399999999</v>
      </c>
    </row>
    <row r="282" spans="1:4">
      <c r="A282" s="3" t="str" vm="111">
        <f>CUBEMEMBER("xlextdat9 Adventure Works DW Adventure Works","[Product].[Product Categories].[Product Name].&amp;[426]")</f>
        <v>ML Mountain Frame - Black, 40</v>
      </c>
      <c r="B282" s="1"/>
      <c r="C282" s="1" t="e">
        <f>CUBEMEMBERPROPERTY("xlextdat9 Adventure Works DW Adventure Works","[Product].[Product Categories].[Product Name].&amp;[426]","Color")</f>
        <v>#N/A</v>
      </c>
      <c r="D282" vm="632">
        <f t="shared" si="4"/>
        <v>14229.408000000001</v>
      </c>
    </row>
    <row r="283" spans="1:4">
      <c r="A283" s="3" t="str" vm="110">
        <f>CUBEMEMBER("xlextdat9 Adventure Works DW Adventure Works","[Product].[Product Categories].[Product Name].&amp;[427]")</f>
        <v>ML Mountain Frame - Black, 44</v>
      </c>
      <c r="B283" s="1"/>
      <c r="C283" s="1" t="e">
        <f>CUBEMEMBERPROPERTY("xlextdat9 Adventure Works DW Adventure Works","[Product].[Product Categories].[Product Name].&amp;[427]","Color")</f>
        <v>#N/A</v>
      </c>
      <c r="D283" vm="631">
        <f t="shared" si="4"/>
        <v>129529.46400000001</v>
      </c>
    </row>
    <row r="284" spans="1:4">
      <c r="A284" s="3" t="str" vm="109">
        <f>CUBEMEMBER("xlextdat9 Adventure Works DW Adventure Works","[Product].[Product Categories].[Product Name].&amp;[428]")</f>
        <v>ML Mountain Frame - Black, 48</v>
      </c>
      <c r="B284" s="1"/>
      <c r="C284" s="1" t="e">
        <f>CUBEMEMBERPROPERTY("xlextdat9 Adventure Works DW Adventure Works","[Product].[Product Categories].[Product Name].&amp;[428]","Color")</f>
        <v>#N/A</v>
      </c>
      <c r="D284" vm="630">
        <f t="shared" si="4"/>
        <v>200026.4154</v>
      </c>
    </row>
    <row r="285" spans="1:4">
      <c r="A285" s="3" t="str" vm="108">
        <f>CUBEMEMBER("xlextdat9 Adventure Works DW Adventure Works","[Product].[Product Categories].[Product Name].&amp;[511]")</f>
        <v>ML Mountain Frame-W - Silver, 40</v>
      </c>
      <c r="B285" s="1"/>
      <c r="C285" s="1" t="e">
        <f>CUBEMEMBERPROPERTY("xlextdat9 Adventure Works DW Adventure Works","[Product].[Product Categories].[Product Name].&amp;[511]","Color")</f>
        <v>#N/A</v>
      </c>
      <c r="D285" vm="629">
        <f t="shared" si="4"/>
        <v>195826.38910000003</v>
      </c>
    </row>
    <row r="286" spans="1:4">
      <c r="A286" s="3" t="str" vm="107">
        <f>CUBEMEMBER("xlextdat9 Adventure Works DW Adventure Works","[Product].[Product Categories].[Product Name].&amp;[512]")</f>
        <v>ML Mountain Frame-W - Silver, 42</v>
      </c>
      <c r="B286" s="1"/>
      <c r="C286" s="1" t="e">
        <f>CUBEMEMBERPROPERTY("xlextdat9 Adventure Works DW Adventure Works","[Product].[Product Categories].[Product Name].&amp;[512]","Color")</f>
        <v>#N/A</v>
      </c>
      <c r="D286" vm="628">
        <f t="shared" si="4"/>
        <v>136970.658</v>
      </c>
    </row>
    <row r="287" spans="1:4">
      <c r="A287" s="3" t="str" vm="106">
        <f>CUBEMEMBER("xlextdat9 Adventure Works DW Adventure Works","[Product].[Product Categories].[Product Name].&amp;[513]")</f>
        <v>ML Mountain Frame-W - Silver, 46</v>
      </c>
      <c r="B287" s="1"/>
      <c r="C287" s="1" t="e">
        <f>CUBEMEMBERPROPERTY("xlextdat9 Adventure Works DW Adventure Works","[Product].[Product Categories].[Product Name].&amp;[513]","Color")</f>
        <v>#N/A</v>
      </c>
      <c r="D287" vm="627">
        <f t="shared" si="4"/>
        <v>41069.351999999999</v>
      </c>
    </row>
    <row r="288" spans="1:4">
      <c r="A288" s="3" t="str" vm="105">
        <f>CUBEMEMBER("xlextdat9 Adventure Works DW Adventure Works","[Product].[Product Categories].[Product Name].&amp;[524]")</f>
        <v>LL Mountain Frame - Silver, 42</v>
      </c>
      <c r="B288" s="1"/>
      <c r="C288" s="1" t="e">
        <f>CUBEMEMBERPROPERTY("xlextdat9 Adventure Works DW Adventure Works","[Product].[Product Categories].[Product Name].&amp;[524]","Color")</f>
        <v>#N/A</v>
      </c>
      <c r="D288" vm="626">
        <f t="shared" si="4"/>
        <v>100569.35720000004</v>
      </c>
    </row>
    <row r="289" spans="1:4">
      <c r="A289" s="3" t="str" vm="104">
        <f>CUBEMEMBER("xlextdat9 Adventure Works DW Adventure Works","[Product].[Product Categories].[Product Name].&amp;[525]")</f>
        <v>LL Mountain Frame - Silver, 44</v>
      </c>
      <c r="B289" s="1"/>
      <c r="C289" s="1" t="e">
        <f>CUBEMEMBERPROPERTY("xlextdat9 Adventure Works DW Adventure Works","[Product].[Product Categories].[Product Name].&amp;[525]","Color")</f>
        <v>#N/A</v>
      </c>
      <c r="D289" vm="625">
        <f t="shared" si="4"/>
        <v>58777.530000000013</v>
      </c>
    </row>
    <row r="290" spans="1:4">
      <c r="A290" s="3" t="str" vm="103">
        <f>CUBEMEMBER("xlextdat9 Adventure Works DW Adventure Works","[Product].[Product Categories].[Product Name].&amp;[526]")</f>
        <v>LL Mountain Frame - Silver, 48</v>
      </c>
      <c r="B290" s="1"/>
      <c r="C290" s="1" t="e">
        <f>CUBEMEMBERPROPERTY("xlextdat9 Adventure Works DW Adventure Works","[Product].[Product Categories].[Product Name].&amp;[526]","Color")</f>
        <v>#N/A</v>
      </c>
      <c r="D290" vm="624">
        <f t="shared" si="4"/>
        <v>6970.92</v>
      </c>
    </row>
    <row r="291" spans="1:4">
      <c r="A291" s="3" t="str" vm="102">
        <f>CUBEMEMBER("xlextdat9 Adventure Works DW Adventure Works","[Product].[Product Categories].[Product Name].&amp;[527]")</f>
        <v>LL Mountain Frame - Silver, 52</v>
      </c>
      <c r="B291" s="1"/>
      <c r="C291" s="1" t="e">
        <f>CUBEMEMBERPROPERTY("xlextdat9 Adventure Works DW Adventure Works","[Product].[Product Categories].[Product Name].&amp;[527]","Color")</f>
        <v>#N/A</v>
      </c>
      <c r="D291" vm="623">
        <f t="shared" si="4"/>
        <v>67332.750000000029</v>
      </c>
    </row>
    <row r="292" spans="1:4">
      <c r="A292" s="3" t="str" vm="101">
        <f>CUBEMEMBER("xlextdat9 Adventure Works DW Adventure Works","[Product].[Product Categories].[Product Name].&amp;[531]")</f>
        <v>LL Mountain Frame - Black, 42</v>
      </c>
      <c r="B292" s="1"/>
      <c r="C292" s="1" t="e">
        <f>CUBEMEMBERPROPERTY("xlextdat9 Adventure Works DW Adventure Works","[Product].[Product Categories].[Product Name].&amp;[531]","Color")</f>
        <v>#N/A</v>
      </c>
      <c r="D292" vm="622">
        <f t="shared" si="4"/>
        <v>63396.702000000005</v>
      </c>
    </row>
    <row r="293" spans="1:4">
      <c r="A293" s="3" t="str" vm="100">
        <f>CUBEMEMBER("xlextdat9 Adventure Works DW Adventure Works","[Product].[Product Categories].[Product Name].&amp;[532]")</f>
        <v>LL Mountain Frame - Black, 44</v>
      </c>
      <c r="B293" s="1"/>
      <c r="C293" s="1" t="e">
        <f>CUBEMEMBERPROPERTY("xlextdat9 Adventure Works DW Adventure Works","[Product].[Product Categories].[Product Name].&amp;[532]","Color")</f>
        <v>#N/A</v>
      </c>
      <c r="D293" vm="621">
        <f t="shared" si="4"/>
        <v>93584.42300000001</v>
      </c>
    </row>
    <row r="294" spans="1:4">
      <c r="A294" s="3" t="str" vm="99">
        <f>CUBEMEMBER("xlextdat9 Adventure Works DW Adventure Works","[Product].[Product Categories].[Product Name].&amp;[533]")</f>
        <v>LL Mountain Frame - Black, 48</v>
      </c>
      <c r="B294" s="1"/>
      <c r="C294" s="1" t="e">
        <f>CUBEMEMBERPROPERTY("xlextdat9 Adventure Works DW Adventure Works","[Product].[Product Categories].[Product Name].&amp;[533]","Color")</f>
        <v>#N/A</v>
      </c>
      <c r="D294" vm="620">
        <f t="shared" si="4"/>
        <v>57851.364000000009</v>
      </c>
    </row>
    <row r="295" spans="1:4">
      <c r="A295" s="3" t="str" vm="98">
        <f>CUBEMEMBER("xlextdat9 Adventure Works DW Adventure Works","[Product].[Product Categories].[Product Name].&amp;[534]")</f>
        <v>LL Mountain Frame - Black, 52</v>
      </c>
      <c r="B295" s="1"/>
      <c r="C295" s="1" t="e">
        <f>CUBEMEMBERPROPERTY("xlextdat9 Adventure Works DW Adventure Works","[Product].[Product Categories].[Product Name].&amp;[534]","Color")</f>
        <v>#N/A</v>
      </c>
      <c r="D295" vm="619">
        <f t="shared" si="4"/>
        <v>2248.1099999999997</v>
      </c>
    </row>
    <row r="296" spans="1:4">
      <c r="A296" s="3" t="str" vm="97">
        <f>CUBEMEMBER("xlextdat9 Adventure Works DW Adventure Works","[Product].[Product Categories].[Product Name].&amp;[549]")</f>
        <v>ML Mountain Frame-W - Silver, 38</v>
      </c>
      <c r="B296" s="1"/>
      <c r="C296" s="1" t="e">
        <f>CUBEMEMBERPROPERTY("xlextdat9 Adventure Works DW Adventure Works","[Product].[Product Categories].[Product Name].&amp;[549]","Color")</f>
        <v>#N/A</v>
      </c>
      <c r="D296" vm="618">
        <f t="shared" si="4"/>
        <v>1529.1779999999999</v>
      </c>
    </row>
    <row r="297" spans="1:4">
      <c r="A297" s="3" t="str" vm="96">
        <f>CUBEMEMBER("xlextdat9 Adventure Works DW Adventure Works","[Product].[Product Categories].[Product Name].&amp;[550]")</f>
        <v>LL Mountain Frame - Black, 40</v>
      </c>
      <c r="B297" s="1"/>
      <c r="C297" s="1" t="e">
        <f>CUBEMEMBERPROPERTY("xlextdat9 Adventure Works DW Adventure Works","[Product].[Product Categories].[Product Name].&amp;[550]","Color")</f>
        <v>#N/A</v>
      </c>
      <c r="D297" vm="617">
        <f t="shared" si="4"/>
        <v>1198.992</v>
      </c>
    </row>
    <row r="298" spans="1:4">
      <c r="A298" s="3" t="str" vm="95">
        <f>CUBEMEMBER("xlextdat9 Adventure Works DW Adventure Works","[Product].[Product Categories].[Product Name].&amp;[551]")</f>
        <v>LL Mountain Frame - Silver, 40</v>
      </c>
      <c r="B298" s="1"/>
      <c r="C298" s="1" t="e">
        <f>CUBEMEMBERPROPERTY("xlextdat9 Adventure Works DW Adventure Works","[Product].[Product Categories].[Product Name].&amp;[551]","Color")</f>
        <v>#N/A</v>
      </c>
      <c r="D298" vm="616">
        <f t="shared" si="4"/>
        <v>69934.276200000037</v>
      </c>
    </row>
    <row r="299" spans="1:4">
      <c r="A299" s="2" t="str" vm="94">
        <f>CUBEMEMBER("xlextdat9 Adventure Works DW Adventure Works","[Product].[Product Categories].[Subcategory].&amp;[13]")</f>
        <v>Pedals</v>
      </c>
      <c r="B299" s="1" t="e">
        <f>CUBEMEMBERPROPERTY("xlextdat9 Adventure Works DW Adventure Works","[Product].[Product Categories].[Subcategory].&amp;[13]","Category")</f>
        <v>#N/A</v>
      </c>
      <c r="D299" vm="615">
        <f t="shared" si="4"/>
        <v>147483.90980000008</v>
      </c>
    </row>
    <row r="300" spans="1:4">
      <c r="A300" s="3" t="str" vm="93">
        <f>CUBEMEMBER("xlextdat9 Adventure Works DW Adventure Works","[Product].[Product Categories].[Product Name].&amp;[542]")</f>
        <v>LL Mountain Pedal</v>
      </c>
      <c r="B300" s="1"/>
      <c r="C300" s="1" t="e">
        <f>CUBEMEMBERPROPERTY("xlextdat9 Adventure Works DW Adventure Works","[Product].[Product Categories].[Product Name].&amp;[542]","Color")</f>
        <v>#N/A</v>
      </c>
      <c r="D300" vm="614">
        <f t="shared" si="4"/>
        <v>10908.005999999999</v>
      </c>
    </row>
    <row r="301" spans="1:4">
      <c r="A301" s="3" t="str" vm="92">
        <f>CUBEMEMBER("xlextdat9 Adventure Works DW Adventure Works","[Product].[Product Categories].[Product Name].&amp;[543]")</f>
        <v>ML Mountain Pedal</v>
      </c>
      <c r="B301" s="1"/>
      <c r="C301" s="1" t="e">
        <f>CUBEMEMBERPROPERTY("xlextdat9 Adventure Works DW Adventure Works","[Product].[Product Categories].[Product Name].&amp;[543]","Color")</f>
        <v>#N/A</v>
      </c>
      <c r="D301" vm="613">
        <f t="shared" si="4"/>
        <v>12852.63</v>
      </c>
    </row>
    <row r="302" spans="1:4">
      <c r="A302" s="3" t="str" vm="91">
        <f>CUBEMEMBER("xlextdat9 Adventure Works DW Adventure Works","[Product].[Product Categories].[Product Name].&amp;[544]")</f>
        <v>HL Mountain Pedal</v>
      </c>
      <c r="B302" s="1"/>
      <c r="C302" s="1" t="e">
        <f>CUBEMEMBERPROPERTY("xlextdat9 Adventure Works DW Adventure Works","[Product].[Product Categories].[Product Name].&amp;[544]","Color")</f>
        <v>#N/A</v>
      </c>
      <c r="D302" vm="612">
        <f t="shared" si="4"/>
        <v>38018.325800000006</v>
      </c>
    </row>
    <row r="303" spans="1:4">
      <c r="A303" s="3" t="str" vm="90">
        <f>CUBEMEMBER("xlextdat9 Adventure Works DW Adventure Works","[Product].[Product Categories].[Product Name].&amp;[545]")</f>
        <v>LL Road Pedal</v>
      </c>
      <c r="B303" s="1"/>
      <c r="C303" s="1" t="e">
        <f>CUBEMEMBERPROPERTY("xlextdat9 Adventure Works DW Adventure Works","[Product].[Product Categories].[Product Name].&amp;[545]","Color")</f>
        <v>#N/A</v>
      </c>
      <c r="D303" vm="611">
        <f t="shared" si="4"/>
        <v>21087.191999999999</v>
      </c>
    </row>
    <row r="304" spans="1:4">
      <c r="A304" s="3" t="str" vm="89">
        <f>CUBEMEMBER("xlextdat9 Adventure Works DW Adventure Works","[Product].[Product Categories].[Product Name].&amp;[546]")</f>
        <v>ML Road Pedal</v>
      </c>
      <c r="B304" s="1"/>
      <c r="C304" s="1" t="e">
        <f>CUBEMEMBERPROPERTY("xlextdat9 Adventure Works DW Adventure Works","[Product].[Product Categories].[Product Name].&amp;[546]","Color")</f>
        <v>#N/A</v>
      </c>
      <c r="D304" vm="610">
        <f t="shared" si="4"/>
        <v>24624.894000000004</v>
      </c>
    </row>
    <row r="305" spans="1:4">
      <c r="A305" s="3" t="str" vm="88">
        <f>CUBEMEMBER("xlextdat9 Adventure Works DW Adventure Works","[Product].[Product Categories].[Product Name].&amp;[547]")</f>
        <v>HL Road Pedal</v>
      </c>
      <c r="B305" s="1"/>
      <c r="C305" s="1" t="e">
        <f>CUBEMEMBERPROPERTY("xlextdat9 Adventure Works DW Adventure Works","[Product].[Product Categories].[Product Name].&amp;[547]","Color")</f>
        <v>#N/A</v>
      </c>
      <c r="D305" vm="609">
        <f t="shared" si="4"/>
        <v>32849.543999999994</v>
      </c>
    </row>
    <row r="306" spans="1:4">
      <c r="A306" s="3" t="str" vm="87">
        <f>CUBEMEMBER("xlextdat9 Adventure Works DW Adventure Works","[Product].[Product Categories].[Product Name].&amp;[548]")</f>
        <v>Touring Pedal</v>
      </c>
      <c r="B306" s="1"/>
      <c r="C306" s="1" t="e">
        <f>CUBEMEMBERPROPERTY("xlextdat9 Adventure Works DW Adventure Works","[Product].[Product Categories].[Product Name].&amp;[548]","Color")</f>
        <v>#N/A</v>
      </c>
      <c r="D306" vm="608">
        <f t="shared" si="4"/>
        <v>7143.3180000000029</v>
      </c>
    </row>
    <row r="307" spans="1:4">
      <c r="A307" s="2" t="str" vm="86">
        <f>CUBEMEMBER("xlextdat9 Adventure Works DW Adventure Works","[Product].[Product Categories].[Subcategory].&amp;[14]")</f>
        <v>Road Frames</v>
      </c>
      <c r="B307" s="1" t="e">
        <f>CUBEMEMBERPROPERTY("xlextdat9 Adventure Works DW Adventure Works","[Product].[Product Categories].[Subcategory].&amp;[14]","Category")</f>
        <v>#N/A</v>
      </c>
      <c r="D307" vm="607">
        <f t="shared" si="4"/>
        <v>3849853.3438000046</v>
      </c>
    </row>
    <row r="308" spans="1:4">
      <c r="A308" s="3" t="str" vm="85">
        <f>CUBEMEMBER("xlextdat9 Adventure Works DW Adventure Works","[Product].[Product Categories].[Product Name].&amp;[238]")</f>
        <v>HL Road Frame - Red, 62</v>
      </c>
      <c r="B308" s="1"/>
      <c r="C308" s="1" t="e">
        <f>CUBEMEMBERPROPERTY("xlextdat9 Adventure Works DW Adventure Works","[Product].[Product Categories].[Product Name].&amp;[238]","Color")</f>
        <v>#N/A</v>
      </c>
      <c r="D308" vm="606">
        <f t="shared" si="4"/>
        <v>22742.276999999998</v>
      </c>
    </row>
    <row r="309" spans="1:4">
      <c r="A309" s="3" t="str" vm="84">
        <f>CUBEMEMBER("xlextdat9 Adventure Works DW Adventure Works","[Product].[Product Categories].[Product Name].&amp;[239]")</f>
        <v>HL Road Frame - Red, 62</v>
      </c>
      <c r="B309" s="1"/>
      <c r="C309" s="1" t="e">
        <f>CUBEMEMBERPROPERTY("xlextdat9 Adventure Works DW Adventure Works","[Product].[Product Categories].[Product Name].&amp;[239]","Color")</f>
        <v>#N/A</v>
      </c>
      <c r="D309" vm="605">
        <f t="shared" si="4"/>
        <v>192862.09539999999</v>
      </c>
    </row>
    <row r="310" spans="1:4">
      <c r="A310" s="3" t="str" vm="83">
        <f>CUBEMEMBER("xlextdat9 Adventure Works DW Adventure Works","[Product].[Product Categories].[Product Name].&amp;[240]")</f>
        <v>HL Road Frame - Red, 62</v>
      </c>
      <c r="B310" s="1"/>
      <c r="C310" s="1" t="e">
        <f>CUBEMEMBERPROPERTY("xlextdat9 Adventure Works DW Adventure Works","[Product].[Product Categories].[Product Name].&amp;[240]","Color")</f>
        <v>#N/A</v>
      </c>
      <c r="D310" vm="604">
        <f t="shared" si="4"/>
        <v>178651.2</v>
      </c>
    </row>
    <row r="311" spans="1:4">
      <c r="A311" s="3" t="str" vm="82">
        <f>CUBEMEMBER("xlextdat9 Adventure Works DW Adventure Works","[Product].[Product Categories].[Product Name].&amp;[241]")</f>
        <v>HL Road Frame - Red, 44</v>
      </c>
      <c r="B311" s="1"/>
      <c r="C311" s="1" t="e">
        <f>CUBEMEMBERPROPERTY("xlextdat9 Adventure Works DW Adventure Works","[Product].[Product Categories].[Product Name].&amp;[241]","Color")</f>
        <v>#N/A</v>
      </c>
      <c r="D311" vm="603">
        <f t="shared" si="4"/>
        <v>20468.049299999999</v>
      </c>
    </row>
    <row r="312" spans="1:4">
      <c r="A312" s="3" t="str" vm="81">
        <f>CUBEMEMBER("xlextdat9 Adventure Works DW Adventure Works","[Product].[Product Categories].[Product Name].&amp;[242]")</f>
        <v>HL Road Frame - Red, 44</v>
      </c>
      <c r="B312" s="1"/>
      <c r="C312" s="1" t="e">
        <f>CUBEMEMBERPROPERTY("xlextdat9 Adventure Works DW Adventure Works","[Product].[Product Categories].[Product Name].&amp;[242]","Color")</f>
        <v>#N/A</v>
      </c>
      <c r="D312" vm="602">
        <f t="shared" si="4"/>
        <v>195204.55</v>
      </c>
    </row>
    <row r="313" spans="1:4">
      <c r="A313" s="3" t="str" vm="80">
        <f>CUBEMEMBER("xlextdat9 Adventure Works DW Adventure Works","[Product].[Product Categories].[Product Name].&amp;[243]")</f>
        <v>HL Road Frame - Red, 44</v>
      </c>
      <c r="B313" s="1"/>
      <c r="C313" s="1" t="e">
        <f>CUBEMEMBERPROPERTY("xlextdat9 Adventure Works DW Adventure Works","[Product].[Product Categories].[Product Name].&amp;[243]","Color")</f>
        <v>#N/A</v>
      </c>
      <c r="D313" vm="601">
        <f t="shared" si="4"/>
        <v>179510.09999999998</v>
      </c>
    </row>
    <row r="314" spans="1:4">
      <c r="A314" s="3" t="str" vm="79">
        <f>CUBEMEMBER("xlextdat9 Adventure Works DW Adventure Works","[Product].[Product Categories].[Product Name].&amp;[245]")</f>
        <v>HL Road Frame - Red, 48</v>
      </c>
      <c r="B314" s="1"/>
      <c r="C314" s="1" t="e">
        <f>CUBEMEMBERPROPERTY("xlextdat9 Adventure Works DW Adventure Works","[Product].[Product Categories].[Product Name].&amp;[245]","Color")</f>
        <v>#N/A</v>
      </c>
      <c r="D314" vm="600">
        <f t="shared" si="4"/>
        <v>37479.2736</v>
      </c>
    </row>
    <row r="315" spans="1:4">
      <c r="A315" s="3" t="str" vm="78">
        <f>CUBEMEMBER("xlextdat9 Adventure Works DW Adventure Works","[Product].[Product Categories].[Product Name].&amp;[246]")</f>
        <v>HL Road Frame - Red, 48</v>
      </c>
      <c r="B315" s="1"/>
      <c r="C315" s="1" t="e">
        <f>CUBEMEMBERPROPERTY("xlextdat9 Adventure Works DW Adventure Works","[Product].[Product Categories].[Product Name].&amp;[246]","Color")</f>
        <v>#N/A</v>
      </c>
      <c r="D315" vm="599">
        <f t="shared" si="4"/>
        <v>52392.9</v>
      </c>
    </row>
    <row r="316" spans="1:4">
      <c r="A316" s="3" t="str" vm="77">
        <f>CUBEMEMBER("xlextdat9 Adventure Works DW Adventure Works","[Product].[Product Categories].[Product Name].&amp;[253]")</f>
        <v>LL Road Frame - Black, 58</v>
      </c>
      <c r="B316" s="1"/>
      <c r="C316" s="1" t="e">
        <f>CUBEMEMBERPROPERTY("xlextdat9 Adventure Works DW Adventure Works","[Product].[Product Categories].[Product Name].&amp;[253]","Color")</f>
        <v>#N/A</v>
      </c>
      <c r="D316" vm="598">
        <f t="shared" si="4"/>
        <v>34108.932799999995</v>
      </c>
    </row>
    <row r="317" spans="1:4">
      <c r="A317" s="3" t="str" vm="76">
        <f>CUBEMEMBER("xlextdat9 Adventure Works DW Adventure Works","[Product].[Product Categories].[Product Name].&amp;[254]")</f>
        <v>LL Road Frame - Black, 58</v>
      </c>
      <c r="B317" s="1"/>
      <c r="C317" s="1" t="e">
        <f>CUBEMEMBERPROPERTY("xlextdat9 Adventure Works DW Adventure Works","[Product].[Product Categories].[Product Name].&amp;[254]","Color")</f>
        <v>#N/A</v>
      </c>
      <c r="D317" vm="597">
        <f t="shared" si="4"/>
        <v>80197.055200000003</v>
      </c>
    </row>
    <row r="318" spans="1:4">
      <c r="A318" s="3" t="str" vm="75">
        <f>CUBEMEMBER("xlextdat9 Adventure Works DW Adventure Works","[Product].[Product Categories].[Product Name].&amp;[255]")</f>
        <v>LL Road Frame - Black, 58</v>
      </c>
      <c r="B318" s="1"/>
      <c r="C318" s="1" t="e">
        <f>CUBEMEMBERPROPERTY("xlextdat9 Adventure Works DW Adventure Works","[Product].[Product Categories].[Product Name].&amp;[255]","Color")</f>
        <v>#N/A</v>
      </c>
      <c r="D318" vm="596">
        <f t="shared" si="4"/>
        <v>63329.915999999997</v>
      </c>
    </row>
    <row r="319" spans="1:4">
      <c r="A319" s="3" t="str" vm="74">
        <f>CUBEMEMBER("xlextdat9 Adventure Works DW Adventure Works","[Product].[Product Categories].[Product Name].&amp;[256]")</f>
        <v>LL Road Frame - Black, 60</v>
      </c>
      <c r="B319" s="1"/>
      <c r="C319" s="1" t="e">
        <f>CUBEMEMBERPROPERTY("xlextdat9 Adventure Works DW Adventure Works","[Product].[Product Categories].[Product Name].&amp;[256]","Color")</f>
        <v>#N/A</v>
      </c>
      <c r="D319" vm="595">
        <f t="shared" si="4"/>
        <v>178.58080000000001</v>
      </c>
    </row>
    <row r="320" spans="1:4">
      <c r="A320" s="3" t="str" vm="73">
        <f>CUBEMEMBER("xlextdat9 Adventure Works DW Adventure Works","[Product].[Product Categories].[Product Name].&amp;[257]")</f>
        <v>LL Road Frame - Black, 60</v>
      </c>
      <c r="B320" s="1"/>
      <c r="C320" s="1" t="e">
        <f>CUBEMEMBERPROPERTY("xlextdat9 Adventure Works DW Adventure Works","[Product].[Product Categories].[Product Name].&amp;[257]","Color")</f>
        <v>#N/A</v>
      </c>
      <c r="D320" vm="594">
        <f t="shared" si="4"/>
        <v>12323.859400000001</v>
      </c>
    </row>
    <row r="321" spans="1:4">
      <c r="A321" s="3" t="str" vm="72">
        <f>CUBEMEMBER("xlextdat9 Adventure Works DW Adventure Works","[Product].[Product Categories].[Product Name].&amp;[258]")</f>
        <v>LL Road Frame - Black, 60</v>
      </c>
      <c r="B321" s="1"/>
      <c r="C321" s="1" t="e">
        <f>CUBEMEMBERPROPERTY("xlextdat9 Adventure Works DW Adventure Works","[Product].[Product Categories].[Product Name].&amp;[258]","Color")</f>
        <v>#N/A</v>
      </c>
      <c r="D321" vm="593">
        <f t="shared" si="4"/>
        <v>12342.251999999999</v>
      </c>
    </row>
    <row r="322" spans="1:4">
      <c r="A322" s="3" t="str" vm="71">
        <f>CUBEMEMBER("xlextdat9 Adventure Works DW Adventure Works","[Product].[Product Categories].[Product Name].&amp;[262]")</f>
        <v>LL Road Frame - Red, 44</v>
      </c>
      <c r="B322" s="1"/>
      <c r="C322" s="1" t="e">
        <f>CUBEMEMBERPROPERTY("xlextdat9 Adventure Works DW Adventure Works","[Product].[Product Categories].[Product Name].&amp;[262]","Color")</f>
        <v>#N/A</v>
      </c>
      <c r="D322" vm="592">
        <f t="shared" ref="D322:D385" si="5">CUBEVALUE("xlextdat9 Adventure Works DW Adventure Works",$A322,D$1)</f>
        <v>55733.274600000004</v>
      </c>
    </row>
    <row r="323" spans="1:4">
      <c r="A323" s="3" t="str" vm="70">
        <f>CUBEMEMBER("xlextdat9 Adventure Works DW Adventure Works","[Product].[Product Categories].[Product Name].&amp;[263]")</f>
        <v>LL Road Frame - Red, 44</v>
      </c>
      <c r="B323" s="1"/>
      <c r="C323" s="1" t="e">
        <f>CUBEMEMBERPROPERTY("xlextdat9 Adventure Works DW Adventure Works","[Product].[Product Categories].[Product Name].&amp;[263]","Color")</f>
        <v>#N/A</v>
      </c>
      <c r="D323" vm="591">
        <f t="shared" si="5"/>
        <v>138959.32449999996</v>
      </c>
    </row>
    <row r="324" spans="1:4">
      <c r="A324" s="3" t="str" vm="69">
        <f>CUBEMEMBER("xlextdat9 Adventure Works DW Adventure Works","[Product].[Product Categories].[Product Name].&amp;[264]")</f>
        <v>LL Road Frame - Red, 48</v>
      </c>
      <c r="B324" s="1"/>
      <c r="C324" s="1" t="e">
        <f>CUBEMEMBERPROPERTY("xlextdat9 Adventure Works DW Adventure Works","[Product].[Product Categories].[Product Name].&amp;[264]","Color")</f>
        <v>#N/A</v>
      </c>
      <c r="D324" vm="590">
        <f t="shared" si="5"/>
        <v>37339.454599999997</v>
      </c>
    </row>
    <row r="325" spans="1:4">
      <c r="A325" s="3" t="str" vm="68">
        <f>CUBEMEMBER("xlextdat9 Adventure Works DW Adventure Works","[Product].[Product Categories].[Product Name].&amp;[265]")</f>
        <v>LL Road Frame - Red, 48</v>
      </c>
      <c r="B325" s="1"/>
      <c r="C325" s="1" t="e">
        <f>CUBEMEMBERPROPERTY("xlextdat9 Adventure Works DW Adventure Works","[Product].[Product Categories].[Product Name].&amp;[265]","Color")</f>
        <v>#N/A</v>
      </c>
      <c r="D325" vm="589">
        <f t="shared" si="5"/>
        <v>94286.712000000014</v>
      </c>
    </row>
    <row r="326" spans="1:4">
      <c r="A326" s="3" t="str" vm="67">
        <f>CUBEMEMBER("xlextdat9 Adventure Works DW Adventure Works","[Product].[Product Categories].[Product Name].&amp;[266]")</f>
        <v>LL Road Frame - Red, 52</v>
      </c>
      <c r="B326" s="1"/>
      <c r="C326" s="1" t="e">
        <f>CUBEMEMBERPROPERTY("xlextdat9 Adventure Works DW Adventure Works","[Product].[Product Categories].[Product Name].&amp;[266]","Color")</f>
        <v>#N/A</v>
      </c>
      <c r="D326" vm="588">
        <f t="shared" si="5"/>
        <v>1287.5673999999999</v>
      </c>
    </row>
    <row r="327" spans="1:4">
      <c r="A327" s="3" t="str" vm="66">
        <f>CUBEMEMBER("xlextdat9 Adventure Works DW Adventure Works","[Product].[Product Categories].[Product Name].&amp;[267]")</f>
        <v>LL Road Frame - Red, 52</v>
      </c>
      <c r="B327" s="1"/>
      <c r="C327" s="1" t="e">
        <f>CUBEMEMBERPROPERTY("xlextdat9 Adventure Works DW Adventure Works","[Product].[Product Categories].[Product Name].&amp;[267]","Color")</f>
        <v>#N/A</v>
      </c>
      <c r="D327" vm="587">
        <f t="shared" si="5"/>
        <v>18816.876</v>
      </c>
    </row>
    <row r="328" spans="1:4">
      <c r="A328" s="3" t="str" vm="65">
        <f>CUBEMEMBER("xlextdat9 Adventure Works DW Adventure Works","[Product].[Product Categories].[Product Name].&amp;[270]")</f>
        <v>LL Road Frame - Red, 60</v>
      </c>
      <c r="B328" s="1"/>
      <c r="C328" s="1" t="e">
        <f>CUBEMEMBERPROPERTY("xlextdat9 Adventure Works DW Adventure Works","[Product].[Product Categories].[Product Name].&amp;[270]","Color")</f>
        <v>#N/A</v>
      </c>
      <c r="D328" vm="586">
        <f t="shared" si="5"/>
        <v>56836.9038</v>
      </c>
    </row>
    <row r="329" spans="1:4">
      <c r="A329" s="3" t="str" vm="64">
        <f>CUBEMEMBER("xlextdat9 Adventure Works DW Adventure Works","[Product].[Product Categories].[Product Name].&amp;[271]")</f>
        <v>LL Road Frame - Red, 60</v>
      </c>
      <c r="B329" s="1"/>
      <c r="C329" s="1" t="e">
        <f>CUBEMEMBERPROPERTY("xlextdat9 Adventure Works DW Adventure Works","[Product].[Product Categories].[Product Name].&amp;[271]","Color")</f>
        <v>#N/A</v>
      </c>
      <c r="D329" vm="585">
        <f t="shared" si="5"/>
        <v>138597.41999999998</v>
      </c>
    </row>
    <row r="330" spans="1:4">
      <c r="A330" s="3" t="str" vm="63">
        <f>CUBEMEMBER("xlextdat9 Adventure Works DW Adventure Works","[Product].[Product Categories].[Product Name].&amp;[272]")</f>
        <v>LL Road Frame - Red, 62</v>
      </c>
      <c r="B330" s="1"/>
      <c r="C330" s="1" t="e">
        <f>CUBEMEMBERPROPERTY("xlextdat9 Adventure Works DW Adventure Works","[Product].[Product Categories].[Product Name].&amp;[272]","Color")</f>
        <v>#N/A</v>
      </c>
      <c r="D330" vm="584">
        <f t="shared" si="5"/>
        <v>37891.26920000001</v>
      </c>
    </row>
    <row r="331" spans="1:4">
      <c r="A331" s="3" t="str" vm="62">
        <f>CUBEMEMBER("xlextdat9 Adventure Works DW Adventure Works","[Product].[Product Categories].[Product Name].&amp;[273]")</f>
        <v>LL Road Frame - Red, 62</v>
      </c>
      <c r="B331" s="1"/>
      <c r="C331" s="1" t="e">
        <f>CUBEMEMBERPROPERTY("xlextdat9 Adventure Works DW Adventure Works","[Product].[Product Categories].[Product Name].&amp;[273]","Color")</f>
        <v>#N/A</v>
      </c>
      <c r="D331" vm="421">
        <f t="shared" si="5"/>
        <v>98823.130300000004</v>
      </c>
    </row>
    <row r="332" spans="1:4">
      <c r="A332" s="3" t="str" vm="61">
        <f>CUBEMEMBER("xlextdat9 Adventure Works DW Adventure Works","[Product].[Product Categories].[Product Name].&amp;[275]")</f>
        <v>ML Road Frame - Red, 48</v>
      </c>
      <c r="B332" s="1"/>
      <c r="C332" s="1" t="e">
        <f>CUBEMEMBERPROPERTY("xlextdat9 Adventure Works DW Adventure Works","[Product].[Product Categories].[Product Name].&amp;[275]","Color")</f>
        <v>#N/A</v>
      </c>
      <c r="D332" vm="451">
        <f t="shared" si="5"/>
        <v>89224.5</v>
      </c>
    </row>
    <row r="333" spans="1:4">
      <c r="A333" s="3" t="str" vm="60">
        <f>CUBEMEMBER("xlextdat9 Adventure Works DW Adventure Works","[Product].[Product Categories].[Product Name].&amp;[276]")</f>
        <v>ML Road Frame - Red, 52</v>
      </c>
      <c r="B333" s="1"/>
      <c r="C333" s="1" t="e">
        <f>CUBEMEMBERPROPERTY("xlextdat9 Adventure Works DW Adventure Works","[Product].[Product Categories].[Product Name].&amp;[276]","Color")</f>
        <v>#N/A</v>
      </c>
      <c r="D333" vm="420">
        <f t="shared" si="5"/>
        <v>32120.82</v>
      </c>
    </row>
    <row r="334" spans="1:4">
      <c r="A334" s="3" t="str" vm="59">
        <f>CUBEMEMBER("xlextdat9 Adventure Works DW Adventure Works","[Product].[Product Categories].[Product Name].&amp;[279]")</f>
        <v>LL Road Frame - Black, 44</v>
      </c>
      <c r="B334" s="1"/>
      <c r="C334" s="1" t="e">
        <f>CUBEMEMBERPROPERTY("xlextdat9 Adventure Works DW Adventure Works","[Product].[Product Categories].[Product Name].&amp;[279]","Color")</f>
        <v>#N/A</v>
      </c>
      <c r="D334" vm="450">
        <f t="shared" si="5"/>
        <v>4643.1008000000002</v>
      </c>
    </row>
    <row r="335" spans="1:4">
      <c r="A335" s="3" t="str" vm="58">
        <f>CUBEMEMBER("xlextdat9 Adventure Works DW Adventure Works","[Product].[Product Categories].[Product Name].&amp;[280]")</f>
        <v>LL Road Frame - Black, 44</v>
      </c>
      <c r="B335" s="1"/>
      <c r="C335" s="1" t="e">
        <f>CUBEMEMBERPROPERTY("xlextdat9 Adventure Works DW Adventure Works","[Product].[Product Categories].[Product Name].&amp;[280]","Color")</f>
        <v>#N/A</v>
      </c>
      <c r="D335" vm="419">
        <f t="shared" si="5"/>
        <v>23728.027799999996</v>
      </c>
    </row>
    <row r="336" spans="1:4">
      <c r="A336" s="3" t="str" vm="57">
        <f>CUBEMEMBER("xlextdat9 Adventure Works DW Adventure Works","[Product].[Product Categories].[Product Name].&amp;[281]")</f>
        <v>LL Road Frame - Black, 44</v>
      </c>
      <c r="B336" s="1"/>
      <c r="C336" s="1" t="e">
        <f>CUBEMEMBERPROPERTY("xlextdat9 Adventure Works DW Adventure Works","[Product].[Product Categories].[Product Name].&amp;[281]","Color")</f>
        <v>#N/A</v>
      </c>
      <c r="D336" vm="449">
        <f t="shared" si="5"/>
        <v>16793.556000000008</v>
      </c>
    </row>
    <row r="337" spans="1:4">
      <c r="A337" s="3" t="str" vm="56">
        <f>CUBEMEMBER("xlextdat9 Adventure Works DW Adventure Works","[Product].[Product Categories].[Product Name].&amp;[285]")</f>
        <v>LL Road Frame - Black, 52</v>
      </c>
      <c r="B337" s="1"/>
      <c r="C337" s="1" t="e">
        <f>CUBEMEMBERPROPERTY("xlextdat9 Adventure Works DW Adventure Works","[Product].[Product Categories].[Product Name].&amp;[285]","Color")</f>
        <v>#N/A</v>
      </c>
      <c r="D337" vm="418">
        <f t="shared" si="5"/>
        <v>54109.982399999994</v>
      </c>
    </row>
    <row r="338" spans="1:4">
      <c r="A338" s="3" t="str" vm="55">
        <f>CUBEMEMBER("xlextdat9 Adventure Works DW Adventure Works","[Product].[Product Categories].[Product Name].&amp;[286]")</f>
        <v>LL Road Frame - Black, 52</v>
      </c>
      <c r="B338" s="1"/>
      <c r="C338" s="1" t="e">
        <f>CUBEMEMBERPROPERTY("xlextdat9 Adventure Works DW Adventure Works","[Product].[Product Categories].[Product Name].&amp;[286]","Color")</f>
        <v>#N/A</v>
      </c>
      <c r="D338" vm="448">
        <f t="shared" si="5"/>
        <v>126258.98159999998</v>
      </c>
    </row>
    <row r="339" spans="1:4">
      <c r="A339" s="3" t="str" vm="54">
        <f>CUBEMEMBER("xlextdat9 Adventure Works DW Adventure Works","[Product].[Product Categories].[Product Name].&amp;[287]")</f>
        <v>LL Road Frame - Black, 52</v>
      </c>
      <c r="B339" s="1"/>
      <c r="C339" s="1" t="e">
        <f>CUBEMEMBERPROPERTY("xlextdat9 Adventure Works DW Adventure Works","[Product].[Product Categories].[Product Name].&amp;[287]","Color")</f>
        <v>#N/A</v>
      </c>
      <c r="D339" vm="417">
        <f t="shared" si="5"/>
        <v>119226.55889999997</v>
      </c>
    </row>
    <row r="340" spans="1:4">
      <c r="A340" s="3" t="str" vm="53">
        <f>CUBEMEMBER("xlextdat9 Adventure Works DW Adventure Works","[Product].[Product Categories].[Product Name].&amp;[417]")</f>
        <v>ML Road Frame-W - Yellow, 38</v>
      </c>
      <c r="B340" s="1"/>
      <c r="C340" s="1" t="e">
        <f>CUBEMEMBERPROPERTY("xlextdat9 Adventure Works DW Adventure Works","[Product].[Product Categories].[Product Name].&amp;[417]","Color")</f>
        <v>#N/A</v>
      </c>
      <c r="D340" vm="447">
        <f t="shared" si="5"/>
        <v>160928.53919999997</v>
      </c>
    </row>
    <row r="341" spans="1:4">
      <c r="A341" s="3" t="str" vm="52">
        <f>CUBEMEMBER("xlextdat9 Adventure Works DW Adventure Works","[Product].[Product Categories].[Product Name].&amp;[418]")</f>
        <v>ML Road Frame-W - Yellow, 38</v>
      </c>
      <c r="B341" s="1"/>
      <c r="C341" s="1" t="e">
        <f>CUBEMEMBERPROPERTY("xlextdat9 Adventure Works DW Adventure Works","[Product].[Product Categories].[Product Name].&amp;[418]","Color")</f>
        <v>#N/A</v>
      </c>
      <c r="D341" vm="416">
        <f t="shared" si="5"/>
        <v>142402.30200000005</v>
      </c>
    </row>
    <row r="342" spans="1:4">
      <c r="A342" s="3" t="str" vm="51">
        <f>CUBEMEMBER("xlextdat9 Adventure Works DW Adventure Works","[Product].[Product Categories].[Product Name].&amp;[429]")</f>
        <v>ML Road Frame-W - Yellow, 40</v>
      </c>
      <c r="B342" s="1"/>
      <c r="C342" s="1" t="e">
        <f>CUBEMEMBERPROPERTY("xlextdat9 Adventure Works DW Adventure Works","[Product].[Product Categories].[Product Name].&amp;[429]","Color")</f>
        <v>#N/A</v>
      </c>
      <c r="D342" vm="446">
        <f t="shared" si="5"/>
        <v>42827.756400000006</v>
      </c>
    </row>
    <row r="343" spans="1:4">
      <c r="A343" s="3" t="str" vm="50">
        <f>CUBEMEMBER("xlextdat9 Adventure Works DW Adventure Works","[Product].[Product Categories].[Product Name].&amp;[430]")</f>
        <v>ML Road Frame-W - Yellow, 40</v>
      </c>
      <c r="B343" s="1"/>
      <c r="C343" s="1" t="e">
        <f>CUBEMEMBERPROPERTY("xlextdat9 Adventure Works DW Adventure Works","[Product].[Product Categories].[Product Name].&amp;[430]","Color")</f>
        <v>#N/A</v>
      </c>
      <c r="D343" vm="415">
        <f t="shared" si="5"/>
        <v>25339.758000000002</v>
      </c>
    </row>
    <row r="344" spans="1:4">
      <c r="A344" s="3" t="str" vm="49">
        <f>CUBEMEMBER("xlextdat9 Adventure Works DW Adventure Works","[Product].[Product Categories].[Product Name].&amp;[433]")</f>
        <v>ML Road Frame-W - Yellow, 44</v>
      </c>
      <c r="B344" s="1"/>
      <c r="C344" s="1" t="e">
        <f>CUBEMEMBERPROPERTY("xlextdat9 Adventure Works DW Adventure Works","[Product].[Product Categories].[Product Name].&amp;[433]","Color")</f>
        <v>#N/A</v>
      </c>
      <c r="D344" vm="445">
        <f t="shared" si="5"/>
        <v>255122.13280000005</v>
      </c>
    </row>
    <row r="345" spans="1:4">
      <c r="A345" s="3" t="str" vm="48">
        <f>CUBEMEMBER("xlextdat9 Adventure Works DW Adventure Works","[Product].[Product Categories].[Product Name].&amp;[434]")</f>
        <v>ML Road Frame-W - Yellow, 44</v>
      </c>
      <c r="B345" s="1"/>
      <c r="C345" s="1" t="e">
        <f>CUBEMEMBERPROPERTY("xlextdat9 Adventure Works DW Adventure Works","[Product].[Product Categories].[Product Name].&amp;[434]","Color")</f>
        <v>#N/A</v>
      </c>
      <c r="D345" vm="414">
        <f t="shared" si="5"/>
        <v>230578.41410000005</v>
      </c>
    </row>
    <row r="346" spans="1:4">
      <c r="A346" s="3" t="str" vm="47">
        <f>CUBEMEMBER("xlextdat9 Adventure Works DW Adventure Works","[Product].[Product Categories].[Product Name].&amp;[435]")</f>
        <v>ML Road Frame-W - Yellow, 48</v>
      </c>
      <c r="B346" s="1"/>
      <c r="C346" s="1" t="e">
        <f>CUBEMEMBERPROPERTY("xlextdat9 Adventure Works DW Adventure Works","[Product].[Product Categories].[Product Name].&amp;[435]","Color")</f>
        <v>#N/A</v>
      </c>
      <c r="D346" vm="444">
        <f t="shared" si="5"/>
        <v>159955.18110000005</v>
      </c>
    </row>
    <row r="347" spans="1:4">
      <c r="A347" s="3" t="str" vm="46">
        <f>CUBEMEMBER("xlextdat9 Adventure Works DW Adventure Works","[Product].[Product Categories].[Product Name].&amp;[436]")</f>
        <v>ML Road Frame-W - Yellow, 48</v>
      </c>
      <c r="B347" s="1"/>
      <c r="C347" s="1" t="e">
        <f>CUBEMEMBERPROPERTY("xlextdat9 Adventure Works DW Adventure Works","[Product].[Product Categories].[Product Name].&amp;[436]","Color")</f>
        <v>#N/A</v>
      </c>
      <c r="D347" vm="413">
        <f t="shared" si="5"/>
        <v>141331.60800000001</v>
      </c>
    </row>
    <row r="348" spans="1:4">
      <c r="A348" s="3" t="str" vm="45">
        <f>CUBEMEMBER("xlextdat9 Adventure Works DW Adventure Works","[Product].[Product Categories].[Product Name].&amp;[439]")</f>
        <v>HL Road Frame - Black, 44</v>
      </c>
      <c r="B348" s="1"/>
      <c r="C348" s="1" t="e">
        <f>CUBEMEMBERPROPERTY("xlextdat9 Adventure Works DW Adventure Works","[Product].[Product Categories].[Product Name].&amp;[439]","Color")</f>
        <v>#N/A</v>
      </c>
      <c r="D348" vm="443">
        <f t="shared" si="5"/>
        <v>192081.27720000001</v>
      </c>
    </row>
    <row r="349" spans="1:4">
      <c r="A349" s="3" t="str" vm="44">
        <f>CUBEMEMBER("xlextdat9 Adventure Works DW Adventure Works","[Product].[Product Categories].[Product Name].&amp;[440]")</f>
        <v>HL Road Frame - Black, 44</v>
      </c>
      <c r="B349" s="1"/>
      <c r="C349" s="1" t="e">
        <f>CUBEMEMBERPROPERTY("xlextdat9 Adventure Works DW Adventure Works","[Product].[Product Categories].[Product Name].&amp;[440]","Color")</f>
        <v>#N/A</v>
      </c>
      <c r="D349" vm="412">
        <f t="shared" si="5"/>
        <v>182945.70000000004</v>
      </c>
    </row>
    <row r="350" spans="1:4">
      <c r="A350" s="3" t="str" vm="43">
        <f>CUBEMEMBER("xlextdat9 Adventure Works DW Adventure Works","[Product].[Product Categories].[Product Name].&amp;[441]")</f>
        <v>HL Road Frame - Black, 48</v>
      </c>
      <c r="B350" s="1"/>
      <c r="C350" s="1" t="e">
        <f>CUBEMEMBERPROPERTY("xlextdat9 Adventure Works DW Adventure Works","[Product].[Product Categories].[Product Name].&amp;[441]","Color")</f>
        <v>#N/A</v>
      </c>
      <c r="D350" vm="442">
        <f t="shared" si="5"/>
        <v>37479.2736</v>
      </c>
    </row>
    <row r="351" spans="1:4">
      <c r="A351" s="3" t="str" vm="42">
        <f>CUBEMEMBER("xlextdat9 Adventure Works DW Adventure Works","[Product].[Product Categories].[Product Name].&amp;[442]")</f>
        <v>HL Road Frame - Black, 48</v>
      </c>
      <c r="B351" s="1"/>
      <c r="C351" s="1" t="e">
        <f>CUBEMEMBERPROPERTY("xlextdat9 Adventure Works DW Adventure Works","[Product].[Product Categories].[Product Name].&amp;[442]","Color")</f>
        <v>#N/A</v>
      </c>
      <c r="D351" vm="411">
        <f t="shared" si="5"/>
        <v>52392.899999999994</v>
      </c>
    </row>
    <row r="352" spans="1:4">
      <c r="A352" s="2" t="str" vm="41">
        <f>CUBEMEMBER("xlextdat9 Adventure Works DW Adventure Works","[Product].[Product Categories].[Subcategory].&amp;[15]")</f>
        <v>Saddles</v>
      </c>
      <c r="B352" s="1" t="e">
        <f>CUBEMEMBERPROPERTY("xlextdat9 Adventure Works DW Adventure Works","[Product].[Product Categories].[Subcategory].&amp;[15]","Category")</f>
        <v>#N/A</v>
      </c>
      <c r="D352" vm="441">
        <f t="shared" si="5"/>
        <v>55829.388200000016</v>
      </c>
    </row>
    <row r="353" spans="1:4">
      <c r="A353" s="3" t="str" vm="40">
        <f>CUBEMEMBER("xlextdat9 Adventure Works DW Adventure Works","[Product].[Product Categories].[Product Name].&amp;[515]")</f>
        <v>LL Mountain Seat/Saddle</v>
      </c>
      <c r="B353" s="1"/>
      <c r="C353" s="1" t="e">
        <f>CUBEMEMBERPROPERTY("xlextdat9 Adventure Works DW Adventure Works","[Product].[Product Categories].[Product Name].&amp;[515]","Color")</f>
        <v>#N/A</v>
      </c>
      <c r="D353" vm="410">
        <f t="shared" si="5"/>
        <v>5636.9570999999996</v>
      </c>
    </row>
    <row r="354" spans="1:4">
      <c r="A354" s="3" t="str" vm="39">
        <f>CUBEMEMBER("xlextdat9 Adventure Works DW Adventure Works","[Product].[Product Categories].[Product Name].&amp;[516]")</f>
        <v>ML Mountain Seat/Saddle</v>
      </c>
      <c r="B354" s="1"/>
      <c r="C354" s="1" t="e">
        <f>CUBEMEMBERPROPERTY("xlextdat9 Adventure Works DW Adventure Works","[Product].[Product Categories].[Product Name].&amp;[516]","Color")</f>
        <v>#N/A</v>
      </c>
      <c r="D354" vm="440">
        <f t="shared" si="5"/>
        <v>12497.167100000001</v>
      </c>
    </row>
    <row r="355" spans="1:4">
      <c r="A355" s="3" t="str" vm="38">
        <f>CUBEMEMBER("xlextdat9 Adventure Works DW Adventure Works","[Product].[Product Categories].[Product Name].&amp;[517]")</f>
        <v>HL Mountain Seat/Saddle</v>
      </c>
      <c r="B355" s="1"/>
      <c r="C355" s="1" t="e">
        <f>CUBEMEMBERPROPERTY("xlextdat9 Adventure Works DW Adventure Works","[Product].[Product Categories].[Product Name].&amp;[517]","Color")</f>
        <v>#N/A</v>
      </c>
      <c r="D355" vm="409">
        <f t="shared" si="5"/>
        <v>16392.095999999998</v>
      </c>
    </row>
    <row r="356" spans="1:4">
      <c r="A356" s="3" t="str" vm="37">
        <f>CUBEMEMBER("xlextdat9 Adventure Works DW Adventure Works","[Product].[Product Categories].[Product Name].&amp;[518]")</f>
        <v>LL Road Seat/Saddle</v>
      </c>
      <c r="B356" s="1"/>
      <c r="C356" s="1" t="e">
        <f>CUBEMEMBERPROPERTY("xlextdat9 Adventure Works DW Adventure Works","[Product].[Product Categories].[Product Name].&amp;[518]","Color")</f>
        <v>#N/A</v>
      </c>
      <c r="D356" vm="439">
        <f t="shared" si="5"/>
        <v>162.71999999999997</v>
      </c>
    </row>
    <row r="357" spans="1:4">
      <c r="A357" s="3" t="str" vm="36">
        <f>CUBEMEMBER("xlextdat9 Adventure Works DW Adventure Works","[Product].[Product Categories].[Product Name].&amp;[520]")</f>
        <v>HL Road Seat/Saddle</v>
      </c>
      <c r="B357" s="1"/>
      <c r="C357" s="1" t="e">
        <f>CUBEMEMBERPROPERTY("xlextdat9 Adventure Works DW Adventure Works","[Product].[Product Categories].[Product Name].&amp;[520]","Color")</f>
        <v>#N/A</v>
      </c>
      <c r="D357" vm="408">
        <f t="shared" si="5"/>
        <v>4232.2560000000003</v>
      </c>
    </row>
    <row r="358" spans="1:4">
      <c r="A358" s="3" t="str" vm="35">
        <f>CUBEMEMBER("xlextdat9 Adventure Works DW Adventure Works","[Product].[Product Categories].[Product Name].&amp;[521]")</f>
        <v>LL Touring Seat/Saddle</v>
      </c>
      <c r="B358" s="1"/>
      <c r="C358" s="1" t="e">
        <f>CUBEMEMBERPROPERTY("xlextdat9 Adventure Works DW Adventure Works","[Product].[Product Categories].[Product Name].&amp;[521]","Color")</f>
        <v>#N/A</v>
      </c>
      <c r="D358" vm="438">
        <f t="shared" si="5"/>
        <v>1480.752</v>
      </c>
    </row>
    <row r="359" spans="1:4">
      <c r="A359" s="3" t="str" vm="34">
        <f>CUBEMEMBER("xlextdat9 Adventure Works DW Adventure Works","[Product].[Product Categories].[Product Name].&amp;[522]")</f>
        <v>ML Touring Seat/Saddle</v>
      </c>
      <c r="B359" s="1"/>
      <c r="C359" s="1" t="e">
        <f>CUBEMEMBERPROPERTY("xlextdat9 Adventure Works DW Adventure Works","[Product].[Product Categories].[Product Name].&amp;[522]","Color")</f>
        <v>#N/A</v>
      </c>
      <c r="D359" vm="407">
        <f t="shared" si="5"/>
        <v>1972.6559999999997</v>
      </c>
    </row>
    <row r="360" spans="1:4">
      <c r="A360" s="3" t="str" vm="33">
        <f>CUBEMEMBER("xlextdat9 Adventure Works DW Adventure Works","[Product].[Product Categories].[Product Name].&amp;[523]")</f>
        <v>HL Touring Seat/Saddle</v>
      </c>
      <c r="B360" s="1"/>
      <c r="C360" s="1" t="e">
        <f>CUBEMEMBERPROPERTY("xlextdat9 Adventure Works DW Adventure Works","[Product].[Product Categories].[Product Name].&amp;[523]","Color")</f>
        <v>#N/A</v>
      </c>
      <c r="D360" vm="437">
        <f t="shared" si="5"/>
        <v>13454.784</v>
      </c>
    </row>
    <row r="361" spans="1:4">
      <c r="A361" s="2" t="str" vm="32">
        <f>CUBEMEMBER("xlextdat9 Adventure Works DW Adventure Works","[Product].[Product Categories].[Subcategory].&amp;[16]")</f>
        <v>Touring Frames</v>
      </c>
      <c r="B361" s="1" t="e">
        <f>CUBEMEMBERPROPERTY("xlextdat9 Adventure Works DW Adventure Works","[Product].[Product Categories].[Subcategory].&amp;[16]","Category")</f>
        <v>#N/A</v>
      </c>
      <c r="D361" vm="406">
        <f t="shared" si="5"/>
        <v>1642327.6862000017</v>
      </c>
    </row>
    <row r="362" spans="1:4">
      <c r="A362" s="3" t="str" vm="31">
        <f>CUBEMEMBER("xlextdat9 Adventure Works DW Adventure Works","[Product].[Product Categories].[Product Name].&amp;[492]")</f>
        <v>HL Touring Frame - Yellow, 60</v>
      </c>
      <c r="B362" s="1"/>
      <c r="C362" s="1" t="e">
        <f>CUBEMEMBERPROPERTY("xlextdat9 Adventure Works DW Adventure Works","[Product].[Product Categories].[Product Name].&amp;[492]","Color")</f>
        <v>#N/A</v>
      </c>
      <c r="D362" vm="436">
        <f t="shared" si="5"/>
        <v>232378.26020000002</v>
      </c>
    </row>
    <row r="363" spans="1:4">
      <c r="A363" s="3" t="str" vm="30">
        <f>CUBEMEMBER("xlextdat9 Adventure Works DW Adventure Works","[Product].[Product Categories].[Product Name].&amp;[493]")</f>
        <v>LL Touring Frame - Yellow, 62</v>
      </c>
      <c r="B363" s="1"/>
      <c r="C363" s="1" t="e">
        <f>CUBEMEMBERPROPERTY("xlextdat9 Adventure Works DW Adventure Works","[Product].[Product Categories].[Product Name].&amp;[493]","Color")</f>
        <v>#N/A</v>
      </c>
      <c r="D363" vm="405">
        <f t="shared" si="5"/>
        <v>69127.135099999985</v>
      </c>
    </row>
    <row r="364" spans="1:4">
      <c r="A364" s="3" t="str" vm="29">
        <f>CUBEMEMBER("xlextdat9 Adventure Works DW Adventure Works","[Product].[Product Categories].[Product Name].&amp;[494]")</f>
        <v>HL Touring Frame - Yellow, 46</v>
      </c>
      <c r="B364" s="1"/>
      <c r="C364" s="1" t="e">
        <f>CUBEMEMBERPROPERTY("xlextdat9 Adventure Works DW Adventure Works","[Product].[Product Categories].[Product Name].&amp;[494]","Color")</f>
        <v>#N/A</v>
      </c>
      <c r="D364" vm="435">
        <f t="shared" si="5"/>
        <v>52404.102000000014</v>
      </c>
    </row>
    <row r="365" spans="1:4">
      <c r="A365" s="3" t="str" vm="28">
        <f>CUBEMEMBER("xlextdat9 Adventure Works DW Adventure Works","[Product].[Product Categories].[Product Name].&amp;[495]")</f>
        <v>HL Touring Frame - Yellow, 50</v>
      </c>
      <c r="B365" s="1"/>
      <c r="C365" s="1" t="e">
        <f>CUBEMEMBERPROPERTY("xlextdat9 Adventure Works DW Adventure Works","[Product].[Product Categories].[Product Name].&amp;[495]","Color")</f>
        <v>#N/A</v>
      </c>
      <c r="D365" vm="404">
        <f t="shared" si="5"/>
        <v>49994.718000000008</v>
      </c>
    </row>
    <row r="366" spans="1:4">
      <c r="A366" s="3" t="str" vm="27">
        <f>CUBEMEMBER("xlextdat9 Adventure Works DW Adventure Works","[Product].[Product Categories].[Product Name].&amp;[496]")</f>
        <v>HL Touring Frame - Yellow, 54</v>
      </c>
      <c r="B366" s="1"/>
      <c r="C366" s="1" t="e">
        <f>CUBEMEMBERPROPERTY("xlextdat9 Adventure Works DW Adventure Works","[Product].[Product Categories].[Product Name].&amp;[496]","Color")</f>
        <v>#N/A</v>
      </c>
      <c r="D366" vm="434">
        <f t="shared" si="5"/>
        <v>323268.25589999999</v>
      </c>
    </row>
    <row r="367" spans="1:4">
      <c r="A367" s="3" t="str" vm="26">
        <f>CUBEMEMBER("xlextdat9 Adventure Works DW Adventure Works","[Product].[Product Categories].[Product Name].&amp;[497]")</f>
        <v>HL Touring Frame - Blue, 46</v>
      </c>
      <c r="B367" s="1"/>
      <c r="C367" s="1" t="e">
        <f>CUBEMEMBERPROPERTY("xlextdat9 Adventure Works DW Adventure Works","[Product].[Product Categories].[Product Name].&amp;[497]","Color")</f>
        <v>#N/A</v>
      </c>
      <c r="D367" vm="403">
        <f t="shared" si="5"/>
        <v>68667.443999999989</v>
      </c>
    </row>
    <row r="368" spans="1:4">
      <c r="A368" s="3" t="str" vm="25">
        <f>CUBEMEMBER("xlextdat9 Adventure Works DW Adventure Works","[Product].[Product Categories].[Product Name].&amp;[498]")</f>
        <v>HL Touring Frame - Blue, 50</v>
      </c>
      <c r="B368" s="1"/>
      <c r="C368" s="1" t="e">
        <f>CUBEMEMBERPROPERTY("xlextdat9 Adventure Works DW Adventure Works","[Product].[Product Categories].[Product Name].&amp;[498]","Color")</f>
        <v>#N/A</v>
      </c>
      <c r="D368" vm="433">
        <f t="shared" si="5"/>
        <v>74690.903999999995</v>
      </c>
    </row>
    <row r="369" spans="1:4">
      <c r="A369" s="3" t="str" vm="24">
        <f>CUBEMEMBER("xlextdat9 Adventure Works DW Adventure Works","[Product].[Product Categories].[Product Name].&amp;[499]")</f>
        <v>HL Touring Frame - Blue, 54</v>
      </c>
      <c r="B369" s="1"/>
      <c r="C369" s="1" t="e">
        <f>CUBEMEMBERPROPERTY("xlextdat9 Adventure Works DW Adventure Works","[Product].[Product Categories].[Product Name].&amp;[499]","Color")</f>
        <v>#N/A</v>
      </c>
      <c r="D369" vm="402">
        <f t="shared" si="5"/>
        <v>324333.10330000008</v>
      </c>
    </row>
    <row r="370" spans="1:4">
      <c r="A370" s="3" t="str" vm="23">
        <f>CUBEMEMBER("xlextdat9 Adventure Works DW Adventure Works","[Product].[Product Categories].[Product Name].&amp;[500]")</f>
        <v>HL Touring Frame - Blue, 60</v>
      </c>
      <c r="B370" s="1"/>
      <c r="C370" s="1" t="e">
        <f>CUBEMEMBERPROPERTY("xlextdat9 Adventure Works DW Adventure Works","[Product].[Product Categories].[Product Name].&amp;[500]","Color")</f>
        <v>#N/A</v>
      </c>
      <c r="D370" vm="432">
        <f t="shared" si="5"/>
        <v>221720.95250000001</v>
      </c>
    </row>
    <row r="371" spans="1:4">
      <c r="A371" s="3" t="str" vm="22">
        <f>CUBEMEMBER("xlextdat9 Adventure Works DW Adventure Works","[Product].[Product Categories].[Product Name].&amp;[502]")</f>
        <v>LL Touring Frame - Blue, 50</v>
      </c>
      <c r="B371" s="1"/>
      <c r="C371" s="1" t="e">
        <f>CUBEMEMBERPROPERTY("xlextdat9 Adventure Works DW Adventure Works","[Product].[Product Categories].[Product Name].&amp;[502]","Color")</f>
        <v>#N/A</v>
      </c>
      <c r="D371" vm="401">
        <f t="shared" si="5"/>
        <v>63216.431999999986</v>
      </c>
    </row>
    <row r="372" spans="1:4">
      <c r="A372" s="3" t="str" vm="21">
        <f>CUBEMEMBER("xlextdat9 Adventure Works DW Adventure Works","[Product].[Product Categories].[Product Name].&amp;[503]")</f>
        <v>LL Touring Frame - Blue, 54</v>
      </c>
      <c r="B372" s="1"/>
      <c r="C372" s="1" t="e">
        <f>CUBEMEMBERPROPERTY("xlextdat9 Adventure Works DW Adventure Works","[Product].[Product Categories].[Product Name].&amp;[503]","Color")</f>
        <v>#N/A</v>
      </c>
      <c r="D372" vm="431">
        <f t="shared" si="5"/>
        <v>42210.971999999987</v>
      </c>
    </row>
    <row r="373" spans="1:4">
      <c r="A373" s="3" t="str" vm="20">
        <f>CUBEMEMBER("xlextdat9 Adventure Works DW Adventure Works","[Product].[Product Categories].[Product Name].&amp;[504]")</f>
        <v>LL Touring Frame - Blue, 58</v>
      </c>
      <c r="B373" s="1"/>
      <c r="C373" s="1" t="e">
        <f>CUBEMEMBERPROPERTY("xlextdat9 Adventure Works DW Adventure Works","[Product].[Product Categories].[Product Name].&amp;[504]","Color")</f>
        <v>#N/A</v>
      </c>
      <c r="D373" vm="400">
        <f t="shared" si="5"/>
        <v>800.20799999999997</v>
      </c>
    </row>
    <row r="374" spans="1:4">
      <c r="A374" s="3" t="str" vm="19">
        <f>CUBEMEMBER("xlextdat9 Adventure Works DW Adventure Works","[Product].[Product Categories].[Product Name].&amp;[505]")</f>
        <v>LL Touring Frame - Blue, 62</v>
      </c>
      <c r="B374" s="1"/>
      <c r="C374" s="1" t="e">
        <f>CUBEMEMBERPROPERTY("xlextdat9 Adventure Works DW Adventure Works","[Product].[Product Categories].[Product Name].&amp;[505]","Color")</f>
        <v>#N/A</v>
      </c>
      <c r="D374" vm="430">
        <f t="shared" si="5"/>
        <v>3000.7799999999997</v>
      </c>
    </row>
    <row r="375" spans="1:4">
      <c r="A375" s="3" t="str" vm="18">
        <f>CUBEMEMBER("xlextdat9 Adventure Works DW Adventure Works","[Product].[Product Categories].[Product Name].&amp;[506]")</f>
        <v>LL Touring Frame - Yellow, 44</v>
      </c>
      <c r="B375" s="1"/>
      <c r="C375" s="1" t="e">
        <f>CUBEMEMBERPROPERTY("xlextdat9 Adventure Works DW Adventure Works","[Product].[Product Categories].[Product Name].&amp;[506]","Color")</f>
        <v>#N/A</v>
      </c>
      <c r="D375" vm="399">
        <f t="shared" si="5"/>
        <v>58699.391199999984</v>
      </c>
    </row>
    <row r="376" spans="1:4">
      <c r="A376" s="3" t="str" vm="17">
        <f>CUBEMEMBER("xlextdat9 Adventure Works DW Adventure Works","[Product].[Product Categories].[Product Name].&amp;[507]")</f>
        <v>LL Touring Frame - Yellow, 50</v>
      </c>
      <c r="B376" s="1"/>
      <c r="C376" s="1" t="e">
        <f>CUBEMEMBERPROPERTY("xlextdat9 Adventure Works DW Adventure Works","[Product].[Product Categories].[Product Name].&amp;[507]","Color")</f>
        <v>#N/A</v>
      </c>
      <c r="D376" vm="429">
        <f t="shared" si="5"/>
        <v>45611.855999999985</v>
      </c>
    </row>
    <row r="377" spans="1:4">
      <c r="A377" s="3" t="str" vm="16">
        <f>CUBEMEMBER("xlextdat9 Adventure Works DW Adventure Works","[Product].[Product Categories].[Product Name].&amp;[509]")</f>
        <v>LL Touring Frame - Yellow, 58</v>
      </c>
      <c r="B377" s="1"/>
      <c r="C377" s="1" t="e">
        <f>CUBEMEMBERPROPERTY("xlextdat9 Adventure Works DW Adventure Works","[Product].[Product Categories].[Product Name].&amp;[509]","Color")</f>
        <v>#N/A</v>
      </c>
      <c r="D377" vm="398">
        <f t="shared" si="5"/>
        <v>7201.8719999999985</v>
      </c>
    </row>
    <row r="378" spans="1:4">
      <c r="A378" s="3" t="str" vm="15">
        <f>CUBEMEMBER("xlextdat9 Adventure Works DW Adventure Works","[Product].[Product Categories].[Product Name].&amp;[510]")</f>
        <v>LL Touring Frame - Blue, 44</v>
      </c>
      <c r="B378" s="1"/>
      <c r="C378" s="1" t="e">
        <f>CUBEMEMBERPROPERTY("xlextdat9 Adventure Works DW Adventure Works","[Product].[Product Categories].[Product Name].&amp;[510]","Color")</f>
        <v>#N/A</v>
      </c>
      <c r="D378" vm="428">
        <f t="shared" si="5"/>
        <v>5001.3</v>
      </c>
    </row>
    <row r="379" spans="1:4">
      <c r="A379" s="2" t="str" vm="14">
        <f>CUBEMEMBER("xlextdat9 Adventure Works DW Adventure Works","[Product].[Product Categories].[Subcategory].&amp;[17]")</f>
        <v>Wheels</v>
      </c>
      <c r="B379" s="1" t="e">
        <f>CUBEMEMBERPROPERTY("xlextdat9 Adventure Works DW Adventure Works","[Product].[Product Categories].[Subcategory].&amp;[17]","Category")</f>
        <v>#N/A</v>
      </c>
      <c r="D379" vm="397">
        <f t="shared" si="5"/>
        <v>679070.06539999938</v>
      </c>
    </row>
    <row r="380" spans="1:4">
      <c r="A380" s="3" t="str" vm="13">
        <f>CUBEMEMBER("xlextdat9 Adventure Works DW Adventure Works","[Product].[Product Categories].[Product Name].&amp;[410]")</f>
        <v>LL Mountain Front Wheel</v>
      </c>
      <c r="B380" s="1"/>
      <c r="C380" s="1" t="e">
        <f>CUBEMEMBERPROPERTY("xlextdat9 Adventure Works DW Adventure Works","[Product].[Product Categories].[Product Name].&amp;[410]","Color")</f>
        <v>#N/A</v>
      </c>
      <c r="D380" vm="427">
        <f t="shared" si="5"/>
        <v>22462.845000000008</v>
      </c>
    </row>
    <row r="381" spans="1:4">
      <c r="A381" s="3" t="str" vm="12">
        <f>CUBEMEMBER("xlextdat9 Adventure Works DW Adventure Works","[Product].[Product Categories].[Product Name].&amp;[411]")</f>
        <v>ML Mountain Front Wheel</v>
      </c>
      <c r="B381" s="1"/>
      <c r="C381" s="1" t="e">
        <f>CUBEMEMBERPROPERTY("xlextdat9 Adventure Works DW Adventure Works","[Product].[Product Categories].[Product Name].&amp;[411]","Color")</f>
        <v>#N/A</v>
      </c>
      <c r="D381" vm="396">
        <f t="shared" si="5"/>
        <v>33360.390000000014</v>
      </c>
    </row>
    <row r="382" spans="1:4">
      <c r="A382" s="3" t="str" vm="11">
        <f>CUBEMEMBER("xlextdat9 Adventure Works DW Adventure Works","[Product].[Product Categories].[Product Name].&amp;[412]")</f>
        <v>HL Mountain Front Wheel</v>
      </c>
      <c r="B382" s="1"/>
      <c r="C382" s="1" t="e">
        <f>CUBEMEMBERPROPERTY("xlextdat9 Adventure Works DW Adventure Works","[Product].[Product Categories].[Product Name].&amp;[412]","Color")</f>
        <v>#N/A</v>
      </c>
      <c r="D382" vm="426">
        <f t="shared" si="5"/>
        <v>39988.638000000006</v>
      </c>
    </row>
    <row r="383" spans="1:4">
      <c r="A383" s="3" t="str" vm="10">
        <f>CUBEMEMBER("xlextdat9 Adventure Works DW Adventure Works","[Product].[Product Categories].[Product Name].&amp;[414]")</f>
        <v>ML Road Front Wheel</v>
      </c>
      <c r="B383" s="1"/>
      <c r="C383" s="1" t="e">
        <f>CUBEMEMBERPROPERTY("xlextdat9 Adventure Works DW Adventure Works","[Product].[Product Categories].[Product Name].&amp;[414]","Color")</f>
        <v>#N/A</v>
      </c>
      <c r="D383" vm="395">
        <f t="shared" si="5"/>
        <v>78986.429999999993</v>
      </c>
    </row>
    <row r="384" spans="1:4">
      <c r="A384" s="3" t="str" vm="9">
        <f>CUBEMEMBER("xlextdat9 Adventure Works DW Adventure Works","[Product].[Product Categories].[Product Name].&amp;[415]")</f>
        <v>HL Road Front Wheel</v>
      </c>
      <c r="B384" s="1"/>
      <c r="C384" s="1" t="e">
        <f>CUBEMEMBERPROPERTY("xlextdat9 Adventure Works DW Adventure Works","[Product].[Product Categories].[Product Name].&amp;[415]","Color")</f>
        <v>#N/A</v>
      </c>
      <c r="D384" vm="425">
        <f t="shared" si="5"/>
        <v>112286.41199999998</v>
      </c>
    </row>
    <row r="385" spans="1:4">
      <c r="A385" s="3" t="str" vm="8">
        <f>CUBEMEMBER("xlextdat9 Adventure Works DW Adventure Works","[Product].[Product Categories].[Product Name].&amp;[419]")</f>
        <v>LL Mountain Rear Wheel</v>
      </c>
      <c r="B385" s="1"/>
      <c r="C385" s="1" t="e">
        <f>CUBEMEMBERPROPERTY("xlextdat9 Adventure Works DW Adventure Works","[Product].[Product Categories].[Product Name].&amp;[419]","Color")</f>
        <v>#N/A</v>
      </c>
      <c r="D385" vm="394">
        <f t="shared" si="5"/>
        <v>18005.274000000009</v>
      </c>
    </row>
    <row r="386" spans="1:4">
      <c r="A386" s="3" t="str" vm="7">
        <f>CUBEMEMBER("xlextdat9 Adventure Works DW Adventure Works","[Product].[Product Categories].[Product Name].&amp;[420]")</f>
        <v>ML Mountain Rear Wheel</v>
      </c>
      <c r="B386" s="1"/>
      <c r="C386" s="1" t="e">
        <f>CUBEMEMBERPROPERTY("xlextdat9 Adventure Works DW Adventure Works","[Product].[Product Categories].[Product Name].&amp;[420]","Color")</f>
        <v>#N/A</v>
      </c>
      <c r="D386" vm="424">
        <f t="shared" ref="D386:D391" si="6">CUBEVALUE("xlextdat9 Adventure Works DW Adventure Works",$A386,D$1)</f>
        <v>119193.5227</v>
      </c>
    </row>
    <row r="387" spans="1:4">
      <c r="A387" s="3" t="str" vm="6">
        <f>CUBEMEMBER("xlextdat9 Adventure Works DW Adventure Works","[Product].[Product Categories].[Product Name].&amp;[421]")</f>
        <v>HL Mountain Rear Wheel</v>
      </c>
      <c r="B387" s="1"/>
      <c r="C387" s="1" t="e">
        <f>CUBEMEMBERPROPERTY("xlextdat9 Adventure Works DW Adventure Works","[Product].[Product Categories].[Product Name].&amp;[421]","Color")</f>
        <v>#N/A</v>
      </c>
      <c r="D387" vm="393">
        <f t="shared" si="6"/>
        <v>166013.28370000003</v>
      </c>
    </row>
    <row r="388" spans="1:4">
      <c r="A388" s="3" t="str" vm="5">
        <f>CUBEMEMBER("xlextdat9 Adventure Works DW Adventure Works","[Product].[Product Categories].[Product Name].&amp;[422]")</f>
        <v>LL Road Rear Wheel</v>
      </c>
      <c r="B388" s="1"/>
      <c r="C388" s="1" t="e">
        <f>CUBEMEMBERPROPERTY("xlextdat9 Adventure Works DW Adventure Works","[Product].[Product Categories].[Product Name].&amp;[422]","Color")</f>
        <v>#N/A</v>
      </c>
      <c r="D388" vm="423">
        <f t="shared" si="6"/>
        <v>58488.774000000005</v>
      </c>
    </row>
    <row r="389" spans="1:4">
      <c r="A389" s="3" t="str" vm="4">
        <f>CUBEMEMBER("xlextdat9 Adventure Works DW Adventure Works","[Product].[Product Categories].[Product Name].&amp;[423]")</f>
        <v>ML Road Rear Wheel</v>
      </c>
      <c r="B389" s="1"/>
      <c r="C389" s="1" t="e">
        <f>CUBEMEMBERPROPERTY("xlextdat9 Adventure Works DW Adventure Works","[Product].[Product Categories].[Product Name].&amp;[423]","Color")</f>
        <v>#N/A</v>
      </c>
      <c r="D389" vm="392">
        <f t="shared" si="6"/>
        <v>10574.783999999996</v>
      </c>
    </row>
    <row r="390" spans="1:4">
      <c r="A390" s="3" t="str" vm="3">
        <f>CUBEMEMBER("xlextdat9 Adventure Works DW Adventure Works","[Product].[Product Categories].[Product Name].&amp;[424]")</f>
        <v>HL Road Rear Wheel</v>
      </c>
      <c r="B390" s="1"/>
      <c r="C390" s="1" t="e">
        <f>CUBEMEMBERPROPERTY("xlextdat9 Adventure Works DW Adventure Works","[Product].[Product Categories].[Product Name].&amp;[424]","Color")</f>
        <v>#N/A</v>
      </c>
      <c r="D390" vm="422">
        <f t="shared" si="6"/>
        <v>19709.712000000003</v>
      </c>
    </row>
    <row r="391" spans="1:4">
      <c r="A391" s="1" t="str" vm="1">
        <f>CUBEMEMBER("xlextdat9 Adventure Works DW Adventure Works","[Product].[Product Categories].[All Products]","Grand Total")</f>
        <v>Grand Total</v>
      </c>
      <c r="D391" t="e">
        <f t="shared" si="6"/>
        <v>#N/A</v>
      </c>
    </row>
  </sheetData>
  <conditionalFormatting sqref="D1:D1048576">
    <cfRule type="iconSet" priority="1">
      <iconSet iconSet="3Arrows">
        <cfvo type="percentile" val="0"/>
        <cfvo type="percentile" val="33"/>
        <cfvo type="percentile" val="67"/>
      </iconSet>
    </cfRule>
  </conditionalFormatting>
  <pageMargins left="0.35" right="0.35" top="0.75" bottom="0.75" header="0.25" footer="0.25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35" right="0.35" top="0.75" bottom="0.75" header="0.25" footer="0.25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35" right="0.35" top="0.75" bottom="0.75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Zeenat Arsiwalla</dc:creator>
  <cp:lastModifiedBy>emilioc</cp:lastModifiedBy>
  <dcterms:created xsi:type="dcterms:W3CDTF">2005-12-08T18:53:04Z</dcterms:created>
  <dcterms:modified xsi:type="dcterms:W3CDTF">2006-10-11T18:55:50Z</dcterms:modified>
</cp:coreProperties>
</file>