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corplocalcom-my.sharepoint.com/personal/raphael_perez_net_br/Documents/Documents/__Company/RFLSystems/SCCM2012R2-Design Docs/"/>
    </mc:Choice>
  </mc:AlternateContent>
  <xr:revisionPtr revIDLastSave="765" documentId="9041EF748D87EE54F813822D19787C77F7CCC8DE" xr6:coauthVersionLast="47" xr6:coauthVersionMax="47" xr10:uidLastSave="{49E6DA48-B5B1-4704-A6B4-3734B8E74832}"/>
  <bookViews>
    <workbookView xWindow="28680" yWindow="-120" windowWidth="29040" windowHeight="16440" xr2:uid="{00000000-000D-0000-FFFF-FFFF00000000}"/>
  </bookViews>
  <sheets>
    <sheet name="db Sizing" sheetId="1" r:id="rId1"/>
  </sheets>
  <definedNames>
    <definedName name="___INDEX_SHEET___ASAP_Utilities">#REF!</definedName>
    <definedName name="DB_Estimates">'db Sizing'!#REF!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F31" i="1"/>
  <c r="C11" i="1"/>
  <c r="C27" i="1" l="1"/>
  <c r="C26" i="1"/>
  <c r="C25" i="1"/>
  <c r="J10" i="1"/>
  <c r="J11" i="1"/>
  <c r="J12" i="1"/>
  <c r="J24" i="1"/>
  <c r="J23" i="1"/>
  <c r="C10" i="1"/>
  <c r="F8" i="1" s="1"/>
  <c r="F7" i="1"/>
  <c r="J9" i="1" s="1"/>
  <c r="J8" i="1" l="1"/>
  <c r="F19" i="1"/>
  <c r="J15" i="1" s="1"/>
  <c r="C17" i="1" l="1"/>
  <c r="C18" i="1"/>
  <c r="F14" i="1"/>
  <c r="I25" i="1" l="1"/>
  <c r="I24" i="1"/>
  <c r="I23" i="1"/>
  <c r="I22" i="1"/>
  <c r="I21" i="1"/>
  <c r="I18" i="1"/>
  <c r="I17" i="1"/>
  <c r="I9" i="1"/>
  <c r="I10" i="1"/>
  <c r="I11" i="1"/>
  <c r="I12" i="1"/>
  <c r="F21" i="1" l="1"/>
  <c r="F22" i="1" s="1"/>
  <c r="G25" i="1"/>
  <c r="G19" i="1"/>
  <c r="J16" i="1" s="1"/>
  <c r="J14" i="1" s="1"/>
  <c r="G31" i="1"/>
  <c r="J25" i="1" s="1"/>
  <c r="E34" i="1"/>
  <c r="F33" i="1"/>
  <c r="F34" i="1" s="1"/>
  <c r="E33" i="1"/>
  <c r="E32" i="1"/>
  <c r="E31" i="1"/>
  <c r="E13" i="1"/>
  <c r="E28" i="1"/>
  <c r="F27" i="1"/>
  <c r="F28" i="1" s="1"/>
  <c r="E27" i="1"/>
  <c r="E26" i="1"/>
  <c r="E25" i="1"/>
  <c r="E22" i="1"/>
  <c r="E21" i="1"/>
  <c r="E20" i="1"/>
  <c r="E19" i="1"/>
  <c r="E16" i="1"/>
  <c r="E15" i="1"/>
  <c r="E14" i="1"/>
  <c r="F9" i="1"/>
  <c r="F10" i="1" s="1"/>
  <c r="G27" i="1" l="1"/>
  <c r="G28" i="1" s="1"/>
  <c r="G33" i="1"/>
  <c r="G34" i="1" s="1"/>
  <c r="G21" i="1"/>
  <c r="G22" i="1" s="1"/>
  <c r="G7" i="1"/>
  <c r="J21" i="1" s="1"/>
  <c r="F13" i="1"/>
  <c r="J18" i="1" s="1"/>
  <c r="G9" i="1" l="1"/>
  <c r="G10" i="1" s="1"/>
  <c r="G13" i="1"/>
  <c r="J22" i="1" s="1"/>
  <c r="J20" i="1" s="1"/>
  <c r="F15" i="1"/>
  <c r="F16" i="1" s="1"/>
  <c r="G15" i="1" l="1"/>
  <c r="G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 Perez.net.br</author>
  </authors>
  <commentList>
    <comment ref="C7" authorId="0" shapeId="0" xr:uid="{ECFD5E8C-1D17-4824-AD3C-4163C9D129B0}">
      <text>
        <r>
          <rPr>
            <sz val="9"/>
            <color indexed="81"/>
            <rFont val="Tahoma"/>
            <family val="2"/>
          </rPr>
          <t>Minimum size recommendation by Microsoft: 25GB per 25,000 clients + initial 25GB
https://docs.microsoft.com/en-us/sccm/core/plan-design/configs/recommended-hardware#bkmk_DiskSpace</t>
        </r>
      </text>
    </comment>
    <comment ref="C9" authorId="0" shapeId="0" xr:uid="{67D25A32-CA7A-4DBA-9B65-CE1D31DF5DBA}">
      <text>
        <r>
          <rPr>
            <sz val="9"/>
            <color indexed="81"/>
            <rFont val="Tahoma"/>
            <family val="2"/>
          </rPr>
          <t xml:space="preserve">Use values between 5 and 8 (depending on how many inventory classes are used).  https://docs.microsoft.com/en-us/sccm/core/plan-design/configs/recommended-hardware#bkmk_DiskSpace
</t>
        </r>
      </text>
    </comment>
    <comment ref="C12" authorId="0" shapeId="0" xr:uid="{C99D4A7A-6387-4900-AB6A-068F9F671DBD}">
      <text>
        <r>
          <rPr>
            <sz val="9"/>
            <color indexed="81"/>
            <rFont val="Tahoma"/>
            <family val="2"/>
          </rPr>
          <t xml:space="preserve">C=CAS
P=Primary (Hierarchy)
PS=Primary (Stand Alone)
S=Secondary
</t>
        </r>
      </text>
    </comment>
    <comment ref="F14" authorId="0" shapeId="0" xr:uid="{62B0F9EC-A11A-4D2E-986F-6E9206BCDEF2}">
      <text>
        <r>
          <rPr>
            <sz val="9"/>
            <color indexed="81"/>
            <rFont val="Tahoma"/>
            <charset val="1"/>
          </rPr>
          <t>The latest infromation from the product team is 4 files seems to be the ideal number if number of clients &gt; 5000.  Max of 8 files is still the rule. https://docs.microsoft.com/en-us/sccm/core/plan-design/configs/recommended-hardware</t>
        </r>
      </text>
    </comment>
    <comment ref="F19" authorId="0" shapeId="0" xr:uid="{CA69E8F7-30BA-43C5-9A26-2439D3CE6C59}">
      <text>
        <r>
          <rPr>
            <sz val="9"/>
            <color indexed="81"/>
            <rFont val="Tahoma"/>
            <family val="2"/>
          </rPr>
          <t>Microsoft reccomends that the WSUS (SUSDB) database be 30GB.  It can be much larger if not maintained. When using WID, limit is 10GB</t>
        </r>
      </text>
    </comment>
    <comment ref="B20" authorId="0" shapeId="0" xr:uid="{C5A28CD8-ED49-4FE4-80CB-E130DE8F819C}">
      <text>
        <r>
          <rPr>
            <sz val="9"/>
            <color indexed="81"/>
            <rFont val="Tahoma"/>
            <family val="2"/>
          </rPr>
          <t>Trace Flags info: 
https://docs.microsoft.com/en-us/sql/t-sql/database-console-commands/dbcc-traceon-trace-flags-transact-sql?view=sql-server-2017
https://blogs.technet.microsoft.com/systemcenterpfe/2014/04/25/sql-trace-flags-and-configmgr/
https://support.microsoft.com/en-us/help/2801413/enable-plan-affecting-sql-server-query-optimizer-behavior-that-can-be
https://www.sqlservercentral.com/articles/sql-server-trace-flags-complete-list-3</t>
        </r>
      </text>
    </comment>
    <comment ref="B21" authorId="0" shapeId="0" xr:uid="{BA7708B9-AD10-46C5-9A61-E65301E8DA30}">
      <text>
        <r>
          <rPr>
            <sz val="9"/>
            <color indexed="81"/>
            <rFont val="Tahoma"/>
            <family val="2"/>
          </rPr>
          <t xml:space="preserve">Function: When a file in the filegroup meets the autogrow threshold, all files in the filegroup grow.
</t>
        </r>
      </text>
    </comment>
    <comment ref="B22" authorId="0" shapeId="0" xr:uid="{511CE501-DF24-40F8-9A9A-52E10380495F}">
      <text>
        <r>
          <rPr>
            <sz val="9"/>
            <color indexed="81"/>
            <rFont val="Tahoma"/>
            <family val="2"/>
          </rPr>
          <t>Function: Removes most single page allocations on the server, reducing contention on the SGAM page. When a new object is created, by default, the first eight pages are allocated from different extents (mixed extents). Afterwards, when more pages are needed, those are allocated from that same extent (uniform extent). The SGAM page is used to track these mixed extents, so can quickly become a bottleneck when numerous mixed page allocations are occurring. This trace flag allocates all eight pages from the same extent when creating new objects, minimizing the need to scan the SGAM page.</t>
        </r>
      </text>
    </comment>
    <comment ref="B24" authorId="0" shapeId="0" xr:uid="{C0C54725-33CD-4F72-9F0F-98EE7D09CAC6}">
      <text>
        <r>
          <rPr>
            <sz val="9"/>
            <color indexed="81"/>
            <rFont val="Tahoma"/>
            <family val="2"/>
          </rPr>
          <t>Compatibility Level info: https://docs.microsoft.com/en-us/troubleshoot/mem/configmgr/sql-query-times-out-or-console-slow-performance</t>
        </r>
      </text>
    </comment>
    <comment ref="E30" authorId="0" shapeId="0" xr:uid="{15598C44-09F9-45E6-B33E-00E6F1C3896D}">
      <text>
        <r>
          <rPr>
            <sz val="9"/>
            <color indexed="81"/>
            <rFont val="Tahoma"/>
            <family val="2"/>
          </rPr>
          <t xml:space="preserve">CMMonitorDB info: 
https://stevethompsonmvp.wordpress.com/2016/11/29/optimizing-sccm-databases-revisited/comment-page-1/
</t>
        </r>
      </text>
    </comment>
  </commentList>
</comments>
</file>

<file path=xl/sharedStrings.xml><?xml version="1.0" encoding="utf-8"?>
<sst xmlns="http://schemas.openxmlformats.org/spreadsheetml/2006/main" count="54" uniqueCount="39">
  <si>
    <t>Inputs</t>
  </si>
  <si>
    <t>Configmgr</t>
  </si>
  <si>
    <t>Data Files</t>
  </si>
  <si>
    <t>Log Files</t>
  </si>
  <si>
    <r>
      <t>Total db Size (</t>
    </r>
    <r>
      <rPr>
        <b/>
        <sz val="10"/>
        <color theme="1" tint="-0.499984740745262"/>
        <rFont val="Segoe UI"/>
        <family val="2"/>
      </rPr>
      <t>MB</t>
    </r>
    <r>
      <rPr>
        <sz val="10"/>
        <color theme="1" tint="-0.499984740745262"/>
        <rFont val="Segoe UI"/>
        <family val="2"/>
      </rPr>
      <t>)</t>
    </r>
  </si>
  <si>
    <t>Number of Clients</t>
  </si>
  <si>
    <t>Number of Files</t>
  </si>
  <si>
    <r>
      <t xml:space="preserve">DB Size per client </t>
    </r>
    <r>
      <rPr>
        <b/>
        <sz val="10"/>
        <color theme="1" tint="-0.499984740745262"/>
        <rFont val="Segoe UI"/>
        <family val="2"/>
      </rPr>
      <t>(MB)</t>
    </r>
  </si>
  <si>
    <r>
      <t>Size per file (</t>
    </r>
    <r>
      <rPr>
        <b/>
        <sz val="10"/>
        <color theme="1" tint="-0.499984740745262"/>
        <rFont val="Segoe UI"/>
        <family val="2"/>
      </rPr>
      <t>MB</t>
    </r>
    <r>
      <rPr>
        <sz val="10"/>
        <color theme="1" tint="-0.499984740745262"/>
        <rFont val="Segoe UI"/>
        <family val="2"/>
      </rPr>
      <t>)</t>
    </r>
  </si>
  <si>
    <t>CPU Cores</t>
  </si>
  <si>
    <r>
      <t>Autogrowth (</t>
    </r>
    <r>
      <rPr>
        <b/>
        <sz val="10"/>
        <color theme="1" tint="-0.499984740745262"/>
        <rFont val="Segoe UI"/>
        <family val="2"/>
      </rPr>
      <t>MB</t>
    </r>
    <r>
      <rPr>
        <sz val="10"/>
        <color theme="1" tint="-0.499984740745262"/>
        <rFont val="Segoe UI"/>
        <family val="2"/>
      </rPr>
      <t>)</t>
    </r>
  </si>
  <si>
    <r>
      <t xml:space="preserve">Server Memory </t>
    </r>
    <r>
      <rPr>
        <b/>
        <sz val="10"/>
        <color theme="1" tint="-0.499984740745262"/>
        <rFont val="Segoe UI"/>
        <family val="2"/>
      </rPr>
      <t>(GB)</t>
    </r>
  </si>
  <si>
    <t>Site Type</t>
  </si>
  <si>
    <t>SQL Server Memory</t>
  </si>
  <si>
    <t>Local Installation</t>
  </si>
  <si>
    <t>Y</t>
  </si>
  <si>
    <t>SQL Server Version</t>
  </si>
  <si>
    <t>Minimum Memory (MB)</t>
  </si>
  <si>
    <t>Maximum Memory (MB)*</t>
  </si>
  <si>
    <t>WSUS</t>
  </si>
  <si>
    <t>Combined</t>
  </si>
  <si>
    <t>TempDB</t>
  </si>
  <si>
    <t>Other</t>
  </si>
  <si>
    <t>CMMonitor</t>
  </si>
  <si>
    <t>WSUS Server</t>
  </si>
  <si>
    <t>Trace Flags</t>
  </si>
  <si>
    <t>N</t>
  </si>
  <si>
    <t>Compatibility Level</t>
  </si>
  <si>
    <t>Supported</t>
  </si>
  <si>
    <t>Recommended</t>
  </si>
  <si>
    <t>Recommended when performance issues</t>
  </si>
  <si>
    <t>Is WSUS DB Same SQL?</t>
  </si>
  <si>
    <t>Remote WSUS DB</t>
  </si>
  <si>
    <t>Data DB</t>
  </si>
  <si>
    <t>Logs</t>
  </si>
  <si>
    <t>Using WID instead of SQL?</t>
  </si>
  <si>
    <t>P</t>
  </si>
  <si>
    <t>Disk Space Requirements + 10% (GB)</t>
  </si>
  <si>
    <r>
      <t xml:space="preserve">Microsoft Size </t>
    </r>
    <r>
      <rPr>
        <b/>
        <sz val="10"/>
        <color theme="1" tint="-0.499984740745262"/>
        <rFont val="Segoe UI"/>
        <family val="2"/>
      </rPr>
      <t>(MB)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</si>
</sst>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2" x14ac:knownFonts="1">
    <font>
      <sz val="11"/>
      <color theme="1"/>
      <name val="Segoe UI"/>
      <family val="2"/>
      <scheme val="minor"/>
    </font>
    <font>
      <sz val="9"/>
      <color indexed="81"/>
      <name val="Tahoma"/>
      <family val="2"/>
    </font>
    <font>
      <sz val="10"/>
      <color theme="1" tint="-0.499984740745262"/>
      <name val="Segoe UI"/>
      <family val="2"/>
    </font>
    <font>
      <b/>
      <sz val="10"/>
      <color theme="1" tint="-0.499984740745262"/>
      <name val="Segoe UI"/>
      <family val="2"/>
    </font>
    <font>
      <b/>
      <sz val="11"/>
      <color theme="1" tint="-0.499984740745262"/>
      <name val="Segoe UI"/>
      <family val="2"/>
    </font>
    <font>
      <u/>
      <sz val="11"/>
      <color theme="10"/>
      <name val="Segoe UI"/>
      <family val="2"/>
      <scheme val="minor"/>
    </font>
    <font>
      <u/>
      <sz val="9"/>
      <color theme="10"/>
      <name val="Segoe UI"/>
      <family val="2"/>
      <scheme val="minor"/>
    </font>
    <font>
      <b/>
      <sz val="11"/>
      <name val="Segoe UI"/>
      <family val="2"/>
    </font>
    <font>
      <sz val="10"/>
      <name val="Segoe UI"/>
      <family val="2"/>
    </font>
    <font>
      <b/>
      <sz val="10"/>
      <name val="Segoe UI"/>
      <family val="2"/>
    </font>
    <font>
      <sz val="9"/>
      <color indexed="81"/>
      <name val="Tahoma"/>
      <charset val="1"/>
    </font>
    <font>
      <sz val="11"/>
      <color theme="1"/>
      <name val="Segoe U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5" fillId="0" borderId="0" applyNumberFormat="0" applyFill="0" applyBorder="0" applyAlignment="0" applyProtection="0"/>
    <xf numFmtId="43" fontId="11" fillId="0" borderId="0" applyFont="0" applyFill="0" applyBorder="0" applyAlignment="0" applyProtection="0"/>
  </cellStyleXfs>
  <cellXfs count="66">
    <xf numFmtId="0" fontId="0" fillId="0" borderId="0" xfId="0"/>
    <xf numFmtId="0" fontId="2" fillId="0" borderId="1" xfId="0" applyFont="1" applyBorder="1"/>
    <xf numFmtId="0" fontId="3" fillId="3" borderId="1" xfId="0" applyFont="1" applyFill="1" applyBorder="1"/>
    <xf numFmtId="0" fontId="3" fillId="3" borderId="1" xfId="0" applyFont="1" applyFill="1" applyBorder="1" applyAlignment="1">
      <alignment horizontal="center"/>
    </xf>
    <xf numFmtId="0" fontId="2" fillId="0" borderId="0" xfId="0" applyFont="1"/>
    <xf numFmtId="0" fontId="3" fillId="2" borderId="1" xfId="0" applyFont="1" applyFill="1" applyBorder="1"/>
    <xf numFmtId="0" fontId="3" fillId="2" borderId="1" xfId="0" applyFont="1" applyFill="1" applyBorder="1" applyAlignment="1">
      <alignment horizontal="center"/>
    </xf>
    <xf numFmtId="1" fontId="2" fillId="0" borderId="1" xfId="0" applyNumberFormat="1" applyFont="1" applyBorder="1"/>
    <xf numFmtId="0" fontId="3" fillId="3" borderId="1" xfId="0" applyFont="1" applyFill="1" applyBorder="1" applyAlignment="1">
      <alignment horizontal="right"/>
    </xf>
    <xf numFmtId="0" fontId="2" fillId="0" borderId="1" xfId="0" applyFont="1" applyBorder="1" applyProtection="1">
      <protection locked="0"/>
    </xf>
    <xf numFmtId="0" fontId="2" fillId="0" borderId="0" xfId="0" applyFont="1" applyProtection="1">
      <protection locked="0"/>
    </xf>
    <xf numFmtId="1" fontId="2" fillId="0" borderId="1" xfId="0" applyNumberFormat="1" applyFont="1" applyBorder="1" applyProtection="1">
      <protection locked="0"/>
    </xf>
    <xf numFmtId="0" fontId="6" fillId="0" borderId="0" xfId="1" applyFont="1"/>
    <xf numFmtId="0" fontId="2" fillId="0" borderId="1" xfId="0" quotePrefix="1" applyFont="1" applyBorder="1"/>
    <xf numFmtId="0" fontId="3" fillId="4" borderId="1" xfId="0" applyFont="1" applyFill="1" applyBorder="1"/>
    <xf numFmtId="0" fontId="2" fillId="0" borderId="8" xfId="0" applyFont="1" applyBorder="1"/>
    <xf numFmtId="0" fontId="2" fillId="0" borderId="9" xfId="0" applyFont="1" applyBorder="1"/>
    <xf numFmtId="0" fontId="2" fillId="0" borderId="10" xfId="0" applyFont="1" applyBorder="1"/>
    <xf numFmtId="1" fontId="3" fillId="4" borderId="1" xfId="0" applyNumberFormat="1" applyFont="1" applyFill="1" applyBorder="1" applyAlignment="1">
      <alignment horizontal="right"/>
    </xf>
    <xf numFmtId="1" fontId="2" fillId="0" borderId="5" xfId="0" applyNumberFormat="1" applyFont="1" applyBorder="1"/>
    <xf numFmtId="1" fontId="2" fillId="0" borderId="7" xfId="0" applyNumberFormat="1" applyFont="1" applyBorder="1"/>
    <xf numFmtId="1" fontId="2" fillId="0" borderId="9" xfId="0" applyNumberFormat="1" applyFont="1" applyBorder="1"/>
    <xf numFmtId="1" fontId="2" fillId="0" borderId="0" xfId="0" applyNumberFormat="1" applyFont="1"/>
    <xf numFmtId="0" fontId="7" fillId="0" borderId="0" xfId="0" applyFont="1" applyFill="1" applyBorder="1" applyAlignment="1">
      <alignment horizontal="center" vertical="center"/>
    </xf>
    <xf numFmtId="0" fontId="8" fillId="0" borderId="0" xfId="0" applyFont="1" applyFill="1" applyBorder="1" applyProtection="1">
      <protection locked="0"/>
    </xf>
    <xf numFmtId="0" fontId="8" fillId="0" borderId="0" xfId="0" applyFont="1" applyFill="1" applyBorder="1"/>
    <xf numFmtId="0" fontId="9" fillId="0" borderId="0"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protection locked="0"/>
    </xf>
    <xf numFmtId="1" fontId="8" fillId="0" borderId="0" xfId="0" applyNumberFormat="1" applyFont="1" applyFill="1" applyBorder="1"/>
    <xf numFmtId="1" fontId="9" fillId="0" borderId="0" xfId="0" applyNumberFormat="1" applyFont="1" applyFill="1" applyBorder="1" applyProtection="1">
      <protection locked="0"/>
    </xf>
    <xf numFmtId="1" fontId="2" fillId="0" borderId="1" xfId="0" applyNumberFormat="1" applyFont="1" applyFill="1" applyBorder="1"/>
    <xf numFmtId="164" fontId="3" fillId="3" borderId="1" xfId="2" applyNumberFormat="1" applyFont="1" applyFill="1" applyBorder="1" applyAlignment="1">
      <alignment horizontal="right"/>
    </xf>
    <xf numFmtId="1" fontId="2" fillId="5" borderId="4" xfId="0" applyNumberFormat="1" applyFont="1" applyFill="1" applyBorder="1"/>
    <xf numFmtId="0" fontId="3" fillId="5" borderId="8" xfId="0" applyFont="1" applyFill="1" applyBorder="1"/>
    <xf numFmtId="1" fontId="3" fillId="5" borderId="8" xfId="0" applyNumberFormat="1" applyFont="1" applyFill="1" applyBorder="1" applyAlignment="1">
      <alignment horizontal="right"/>
    </xf>
    <xf numFmtId="1" fontId="2" fillId="5" borderId="8" xfId="0" applyNumberFormat="1" applyFont="1" applyFill="1" applyBorder="1"/>
    <xf numFmtId="0" fontId="3" fillId="5" borderId="9" xfId="0" applyFont="1" applyFill="1" applyBorder="1"/>
    <xf numFmtId="1" fontId="3" fillId="5" borderId="9" xfId="0" applyNumberFormat="1" applyFont="1" applyFill="1" applyBorder="1" applyAlignment="1">
      <alignment horizontal="right"/>
    </xf>
    <xf numFmtId="0" fontId="2" fillId="0" borderId="8" xfId="0" applyFont="1" applyBorder="1" applyProtection="1">
      <protection locked="0"/>
    </xf>
    <xf numFmtId="0" fontId="3" fillId="5" borderId="8" xfId="0" applyFont="1" applyFill="1" applyBorder="1" applyAlignment="1" applyProtection="1">
      <alignment horizontal="center"/>
      <protection locked="0"/>
    </xf>
    <xf numFmtId="0" fontId="2" fillId="0" borderId="9" xfId="0" applyFont="1" applyBorder="1" applyProtection="1">
      <protection locked="0"/>
    </xf>
    <xf numFmtId="0" fontId="3" fillId="5" borderId="9" xfId="0" applyFont="1" applyFill="1" applyBorder="1" applyAlignment="1" applyProtection="1">
      <alignment horizontal="center"/>
      <protection locked="0"/>
    </xf>
    <xf numFmtId="0" fontId="2" fillId="0" borderId="10" xfId="0" applyFont="1" applyBorder="1" applyAlignment="1" applyProtection="1">
      <alignment wrapText="1"/>
      <protection locked="0"/>
    </xf>
    <xf numFmtId="0" fontId="3" fillId="5" borderId="10" xfId="0" applyFont="1" applyFill="1" applyBorder="1" applyAlignment="1" applyProtection="1">
      <alignment horizontal="center"/>
      <protection locked="0"/>
    </xf>
    <xf numFmtId="0" fontId="3" fillId="3" borderId="8" xfId="0" applyFont="1" applyFill="1" applyBorder="1" applyAlignment="1" applyProtection="1">
      <alignment horizontal="center"/>
      <protection locked="0"/>
    </xf>
    <xf numFmtId="0" fontId="2" fillId="0" borderId="10" xfId="0" applyFont="1" applyBorder="1" applyProtection="1">
      <protection locked="0"/>
    </xf>
    <xf numFmtId="0" fontId="3" fillId="3" borderId="10" xfId="0" applyFont="1" applyFill="1" applyBorder="1" applyAlignment="1" applyProtection="1">
      <alignment horizontal="center"/>
      <protection locked="0"/>
    </xf>
    <xf numFmtId="0" fontId="3" fillId="3" borderId="8" xfId="0" applyFont="1" applyFill="1" applyBorder="1" applyAlignment="1" applyProtection="1">
      <alignment horizontal="center" vertical="center"/>
      <protection locked="0"/>
    </xf>
    <xf numFmtId="0" fontId="3" fillId="3" borderId="10" xfId="0" applyFont="1" applyFill="1" applyBorder="1" applyAlignment="1" applyProtection="1">
      <alignment horizontal="center" vertical="center"/>
      <protection locked="0"/>
    </xf>
    <xf numFmtId="0" fontId="2" fillId="5" borderId="10" xfId="0" applyFont="1" applyFill="1" applyBorder="1" applyAlignment="1" applyProtection="1">
      <alignment horizontal="right"/>
      <protection locked="0"/>
    </xf>
    <xf numFmtId="0" fontId="3" fillId="2" borderId="2" xfId="0" applyFont="1" applyFill="1" applyBorder="1" applyAlignment="1">
      <alignment horizontal="center" vertical="top"/>
    </xf>
    <xf numFmtId="0" fontId="3" fillId="2" borderId="6" xfId="0" applyFont="1" applyFill="1" applyBorder="1" applyAlignment="1">
      <alignment horizontal="center" vertical="top"/>
    </xf>
    <xf numFmtId="0" fontId="3" fillId="2" borderId="3" xfId="0" applyFont="1" applyFill="1" applyBorder="1" applyAlignment="1">
      <alignment horizontal="center" vertical="top"/>
    </xf>
    <xf numFmtId="0" fontId="3" fillId="2" borderId="7" xfId="0" applyFont="1" applyFill="1" applyBorder="1" applyAlignment="1">
      <alignment horizontal="center" vertical="top"/>
    </xf>
    <xf numFmtId="164" fontId="2" fillId="5" borderId="1" xfId="0" applyNumberFormat="1" applyFont="1" applyFill="1" applyBorder="1"/>
    <xf numFmtId="1" fontId="3" fillId="5" borderId="1" xfId="0" applyNumberFormat="1" applyFont="1" applyFill="1" applyBorder="1"/>
    <xf numFmtId="0" fontId="4" fillId="2" borderId="2"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2" xfId="0" applyFont="1" applyFill="1" applyBorder="1" applyAlignment="1">
      <alignment horizontal="center" vertical="top"/>
    </xf>
    <xf numFmtId="0" fontId="3" fillId="2" borderId="3" xfId="0" applyFont="1" applyFill="1" applyBorder="1" applyAlignment="1">
      <alignment horizontal="center" vertical="top"/>
    </xf>
    <xf numFmtId="0" fontId="4" fillId="2" borderId="1" xfId="0" applyFont="1" applyFill="1" applyBorder="1" applyAlignment="1">
      <alignment horizontal="center"/>
    </xf>
    <xf numFmtId="0" fontId="4" fillId="2" borderId="2" xfId="0" applyFont="1" applyFill="1" applyBorder="1" applyAlignment="1" applyProtection="1">
      <alignment horizontal="center"/>
      <protection locked="0"/>
    </xf>
    <xf numFmtId="0" fontId="4" fillId="2" borderId="3" xfId="0" applyFont="1" applyFill="1" applyBorder="1" applyAlignment="1" applyProtection="1">
      <alignment horizontal="center"/>
      <protection locked="0"/>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19050</xdr:colOff>
      <xdr:row>4</xdr:row>
      <xdr:rowOff>114300</xdr:rowOff>
    </xdr:to>
    <xdr:sp macro="" textlink="">
      <xdr:nvSpPr>
        <xdr:cNvPr id="4" name="Title Artwork" descr="Rounded rectangle with a gradient fill." title="Calorie Amortization Schedule (Title and artwork)">
          <a:extLst>
            <a:ext uri="{FF2B5EF4-FFF2-40B4-BE49-F238E27FC236}">
              <a16:creationId xmlns:a16="http://schemas.microsoft.com/office/drawing/2014/main" id="{00000000-0008-0000-0100-000004000000}"/>
            </a:ext>
          </a:extLst>
        </xdr:cNvPr>
        <xdr:cNvSpPr/>
      </xdr:nvSpPr>
      <xdr:spPr>
        <a:xfrm>
          <a:off x="0" y="0"/>
          <a:ext cx="11115675" cy="838200"/>
        </a:xfrm>
        <a:prstGeom prst="round2SameRect">
          <a:avLst/>
        </a:prstGeom>
        <a:solidFill>
          <a:schemeClr val="tx2"/>
        </a:solidFill>
        <a:ln>
          <a:noFill/>
        </a:ln>
        <a:effectLst>
          <a:outerShdw blurRad="38100" dist="25400" dir="16200000" rotWithShape="0">
            <a:prstClr val="black">
              <a:alpha val="15000"/>
            </a:prstClr>
          </a:outerShdw>
        </a:effectLst>
        <a:scene3d>
          <a:camera prst="orthographicFront">
            <a:rot lat="0" lon="0" rev="0"/>
          </a:camera>
          <a:lightRig rig="brightRoom" dir="t">
            <a:rot lat="0" lon="0" rev="8700000"/>
          </a:lightRig>
        </a:scene3d>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500" baseline="0">
              <a:solidFill>
                <a:schemeClr val="bg1"/>
              </a:solidFill>
              <a:latin typeface="+mj-lt"/>
            </a:rPr>
            <a:t>SQL SERVER &amp; SQL DATA SIZING</a:t>
          </a:r>
          <a:endParaRPr lang="en-US" sz="2500">
            <a:solidFill>
              <a:schemeClr val="bg1"/>
            </a:solidFill>
            <a:latin typeface="+mj-lt"/>
          </a:endParaRPr>
        </a:p>
      </xdr:txBody>
    </xdr:sp>
    <xdr:clientData/>
  </xdr:twoCellAnchor>
</xdr:wsDr>
</file>

<file path=xl/theme/theme1.xml><?xml version="1.0" encoding="utf-8"?>
<a:theme xmlns:a="http://schemas.openxmlformats.org/drawingml/2006/main" name="summer2015">
  <a:themeElements>
    <a:clrScheme name="MSVID White Brand template_10-14">
      <a:dk1>
        <a:srgbClr val="505050"/>
      </a:dk1>
      <a:lt1>
        <a:srgbClr val="FFFFFF"/>
      </a:lt1>
      <a:dk2>
        <a:srgbClr val="0078D7"/>
      </a:dk2>
      <a:lt2>
        <a:srgbClr val="00BCF2"/>
      </a:lt2>
      <a:accent1>
        <a:srgbClr val="0078D7"/>
      </a:accent1>
      <a:accent2>
        <a:srgbClr val="B4009E"/>
      </a:accent2>
      <a:accent3>
        <a:srgbClr val="107C10"/>
      </a:accent3>
      <a:accent4>
        <a:srgbClr val="5C2D91"/>
      </a:accent4>
      <a:accent5>
        <a:srgbClr val="008272"/>
      </a:accent5>
      <a:accent6>
        <a:srgbClr val="D83B01"/>
      </a:accent6>
      <a:hlink>
        <a:srgbClr val="0078D7"/>
      </a:hlink>
      <a:folHlink>
        <a:srgbClr val="0078D7"/>
      </a:folHlink>
    </a:clrScheme>
    <a:fontScheme name="Custom 1">
      <a:majorFont>
        <a:latin typeface="Segoe UI Light"/>
        <a:ea typeface=""/>
        <a:cs typeface=""/>
      </a:majorFont>
      <a:minorFont>
        <a:latin typeface="Segoe UI"/>
        <a:ea typeface=""/>
        <a:cs typeface=""/>
      </a:minorFont>
    </a:fontScheme>
    <a:fmtScheme name="Couture">
      <a:fillStyleLst>
        <a:solidFill>
          <a:schemeClr val="phClr"/>
        </a:solidFill>
        <a:solidFill>
          <a:schemeClr val="phClr">
            <a:tint val="65000"/>
          </a:schemeClr>
        </a:solidFill>
        <a:solidFill>
          <a:schemeClr val="phClr">
            <a:shade val="80000"/>
            <a:satMod val="18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9050" h="31750" prst="coolSlan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chemeClr val="accent1"/>
        </a:solidFill>
        <a:ln>
          <a:noFill/>
          <a:headEnd type="none" w="med" len="med"/>
          <a:tailEnd type="none" w="med" len="med"/>
        </a:ln>
        <a:effectLst/>
      </a:spPr>
      <a:bodyPr rot="0" spcFirstLastPara="0" vertOverflow="overflow" horzOverflow="overflow" vert="horz" wrap="square" lIns="182880" tIns="146304" rIns="182880" bIns="146304" numCol="1" spcCol="0" rtlCol="0" fromWordArt="0" anchor="t" anchorCtr="0" forceAA="0" compatLnSpc="1">
        <a:prstTxWarp prst="textNoShape">
          <a:avLst/>
        </a:prstTxWarp>
        <a:noAutofit/>
      </a:bodyPr>
      <a:lstStyle>
        <a:defPPr defTabSz="932472" fontAlgn="base">
          <a:lnSpc>
            <a:spcPct val="90000"/>
          </a:lnSpc>
          <a:spcBef>
            <a:spcPct val="0"/>
          </a:spcBef>
          <a:spcAft>
            <a:spcPct val="0"/>
          </a:spcAft>
          <a:defRPr sz="2400" dirty="0" err="1" smtClean="0">
            <a:gradFill>
              <a:gsLst>
                <a:gs pos="0">
                  <a:srgbClr val="FFFFFF"/>
                </a:gs>
                <a:gs pos="100000">
                  <a:srgbClr val="FFFFFF"/>
                </a:gs>
              </a:gsLst>
              <a:lin ang="5400000" scaled="0"/>
            </a:gradFill>
            <a:ea typeface="Segoe UI" pitchFamily="34" charset="0"/>
            <a:cs typeface="Segoe UI" pitchFamily="34" charset="0"/>
          </a:defRPr>
        </a:defPPr>
      </a:lstStyle>
      <a:style>
        <a:lnRef idx="1">
          <a:schemeClr val="accent2"/>
        </a:lnRef>
        <a:fillRef idx="3">
          <a:schemeClr val="accent2"/>
        </a:fillRef>
        <a:effectRef idx="2">
          <a:schemeClr val="accent2"/>
        </a:effectRef>
        <a:fontRef idx="minor">
          <a:schemeClr val="lt1"/>
        </a:fontRef>
      </a:style>
    </a:spDef>
    <a:lnDef>
      <a:spPr>
        <a:ln>
          <a:solidFill>
            <a:schemeClr val="tx1"/>
          </a:solidFill>
          <a:headEnd type="none"/>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182880" tIns="146304" rIns="182880" bIns="146304" rtlCol="0">
        <a:spAutoFit/>
      </a:bodyPr>
      <a:lstStyle>
        <a:defPPr>
          <a:lnSpc>
            <a:spcPct val="90000"/>
          </a:lnSpc>
          <a:spcAft>
            <a:spcPts val="600"/>
          </a:spcAft>
          <a:defRPr sz="2400" dirty="0" err="1" smtClean="0">
            <a:gradFill>
              <a:gsLst>
                <a:gs pos="2917">
                  <a:schemeClr val="tx1"/>
                </a:gs>
                <a:gs pos="30000">
                  <a:schemeClr val="tx1"/>
                </a:gs>
              </a:gsLst>
              <a:lin ang="5400000" scaled="0"/>
            </a:gradFill>
          </a:defRPr>
        </a:defPPr>
      </a:lstStyle>
    </a:txDef>
  </a:objectDefaults>
  <a:extraClrSchemeLst/>
  <a:extLst>
    <a:ext uri="{05A4C25C-085E-4340-85A3-A5531E510DB2}">
      <thm15:themeFamily xmlns:thm15="http://schemas.microsoft.com/office/thememl/2012/main" name="summer2015" id="{937A899F-087B-43A7-B8B5-3B6D86F59F88}" vid="{73C0B7CA-5F00-42E8-B587-B4E8D428ECC4}"/>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J77"/>
  <sheetViews>
    <sheetView showGridLines="0" tabSelected="1" zoomScaleNormal="100" workbookViewId="0">
      <selection activeCell="I28" sqref="I28"/>
    </sheetView>
  </sheetViews>
  <sheetFormatPr defaultColWidth="9" defaultRowHeight="14.25" x14ac:dyDescent="0.25"/>
  <cols>
    <col min="1" max="1" width="0.625" style="4" customWidth="1"/>
    <col min="2" max="2" width="22.75" style="4" customWidth="1"/>
    <col min="3" max="3" width="19.5" style="4" bestFit="1" customWidth="1"/>
    <col min="4" max="4" width="6.875" style="4" customWidth="1"/>
    <col min="5" max="5" width="16.875" style="4" customWidth="1"/>
    <col min="6" max="6" width="18.75" style="4" customWidth="1"/>
    <col min="7" max="7" width="17.125" style="4" customWidth="1"/>
    <col min="8" max="8" width="6.25" style="4" customWidth="1"/>
    <col min="9" max="9" width="21.625" style="4" customWidth="1"/>
    <col min="10" max="10" width="15.375" style="4" customWidth="1"/>
    <col min="11" max="11" width="13.875" style="4" customWidth="1"/>
    <col min="12" max="12" width="15" style="4" customWidth="1"/>
    <col min="13" max="13" width="13.875" style="4" customWidth="1"/>
    <col min="14" max="16384" width="9" style="4"/>
  </cols>
  <sheetData>
    <row r="5" spans="2:10" ht="21" customHeight="1" x14ac:dyDescent="0.25"/>
    <row r="6" spans="2:10" ht="16.5" x14ac:dyDescent="0.3">
      <c r="B6" s="63" t="s">
        <v>0</v>
      </c>
      <c r="C6" s="63"/>
      <c r="E6" s="5" t="s">
        <v>1</v>
      </c>
      <c r="F6" s="6" t="s">
        <v>2</v>
      </c>
      <c r="G6" s="6" t="s">
        <v>3</v>
      </c>
      <c r="I6" s="64" t="s">
        <v>37</v>
      </c>
      <c r="J6" s="65"/>
    </row>
    <row r="7" spans="2:10" x14ac:dyDescent="0.25">
      <c r="B7" s="1" t="s">
        <v>38</v>
      </c>
      <c r="C7" s="55">
        <f>(IF(ROUNDUP($C$8/25000,0)&lt;=1,1,ROUNDUP($C$8/25000,0))*250)*1024</f>
        <v>256000</v>
      </c>
      <c r="E7" s="9" t="s">
        <v>4</v>
      </c>
      <c r="F7" s="11">
        <f>IF(($C$8*$C$9)/1024&lt;$C$7,$C$7,($C$8*$C$9))</f>
        <v>256000</v>
      </c>
      <c r="G7" s="11">
        <f>F7*0.25</f>
        <v>64000</v>
      </c>
      <c r="I7" s="59" t="s">
        <v>2</v>
      </c>
      <c r="J7" s="60"/>
    </row>
    <row r="8" spans="2:10" x14ac:dyDescent="0.25">
      <c r="B8" s="1" t="s">
        <v>5</v>
      </c>
      <c r="C8" s="32">
        <v>15000</v>
      </c>
      <c r="E8" s="1" t="s">
        <v>6</v>
      </c>
      <c r="F8" s="7">
        <f>C10</f>
        <v>4</v>
      </c>
      <c r="G8" s="7">
        <v>1</v>
      </c>
      <c r="I8" s="14" t="s">
        <v>20</v>
      </c>
      <c r="J8" s="18">
        <f>ROUNDUP(SUM(J9:J12),0)</f>
        <v>319</v>
      </c>
    </row>
    <row r="9" spans="2:10" x14ac:dyDescent="0.25">
      <c r="B9" s="1" t="s">
        <v>7</v>
      </c>
      <c r="C9" s="2">
        <v>5</v>
      </c>
      <c r="E9" s="9" t="s">
        <v>8</v>
      </c>
      <c r="F9" s="11">
        <f>F7/F8</f>
        <v>64000</v>
      </c>
      <c r="G9" s="11">
        <f>G7/G8</f>
        <v>64000</v>
      </c>
      <c r="I9" s="15" t="str">
        <f>E6</f>
        <v>Configmgr</v>
      </c>
      <c r="J9" s="33">
        <f>ROUNDUP(F7/1024,0)*1.1</f>
        <v>275</v>
      </c>
    </row>
    <row r="10" spans="2:10" x14ac:dyDescent="0.25">
      <c r="B10" s="13" t="s">
        <v>9</v>
      </c>
      <c r="C10" s="56">
        <f>IF($C$12="S",8, IF($C$15="Y",6+(MAX(0,ROUNDDOWN($C$8/25001,0))*2),4+(MAX(0,ROUNDDOWN($C$8/25001,0)*2))))</f>
        <v>4</v>
      </c>
      <c r="E10" s="1" t="s">
        <v>10</v>
      </c>
      <c r="F10" s="7">
        <f>MAX(1024,F9*10%)</f>
        <v>6400</v>
      </c>
      <c r="G10" s="7">
        <f>MAX(1024,G9*20%)</f>
        <v>12800</v>
      </c>
      <c r="I10" s="16" t="str">
        <f>E18</f>
        <v>WSUS</v>
      </c>
      <c r="J10" s="19">
        <f>ROUNDUP(IF(C30="Y",F19/1024,0),0)*1.1</f>
        <v>33</v>
      </c>
    </row>
    <row r="11" spans="2:10" x14ac:dyDescent="0.25">
      <c r="B11" s="1" t="s">
        <v>11</v>
      </c>
      <c r="C11" s="56">
        <f>IF(AND(C12="S", C8&lt;=5000), 8, IF(AND(C12="S", C8&gt;=5000), 16, IF(AND(C12="P", C15="Y", C8&lt;=25000), 24, IF(AND(C12="P", C15="N", C8&lt;=25000), 16, IF(AND(C12="P", C15="Y", C8&lt;=50000), 32, IF(AND(C12="P", C15="N", C8&lt;=50000), 24, IF(AND(C12="P", C15="Y", C8&lt;=100000), 64, IF(AND(C12="P", C15="N", C8&lt;=100000), 48, IF(AND(C12="P", C15="Y", C8&lt;=150000), 96, IF(AND(C12="P", C15="N", C8&lt;=150000), 72, IF(AND(C12="C", C15="Y", C8&lt;=25000), 24, IF(AND(C12="C", C15="N", C8&lt;=25000), 16, IF(AND(C12="C", C15="Y", C8&lt;=50000), 32, IF(AND(C12="C", C15="N", C8&lt;=50000), 24, IF(AND(C12="C", C15="Y", C8&lt;=100000), 64, IF(AND(C12="C", C15="N", C8&lt;=100000), 48, IF(AND(C12="C", C15="Y", C8&lt;=150000), 96, IF(AND(C12="C", C15="N", C8&lt;=150000), 72, IF(AND(C12="C", C15="Y", C8&gt;150000), 96, IF(AND(C12="C", C15="N", C8&gt;150000), 72, ))))))))))))))))))))</f>
        <v>16</v>
      </c>
      <c r="I11" s="16" t="str">
        <f>E24</f>
        <v>Other</v>
      </c>
      <c r="J11" s="19">
        <f>ROUNDUP(F25/1024,0)*1.1</f>
        <v>5.5</v>
      </c>
    </row>
    <row r="12" spans="2:10" x14ac:dyDescent="0.25">
      <c r="B12" s="1" t="s">
        <v>12</v>
      </c>
      <c r="C12" s="3" t="s">
        <v>36</v>
      </c>
      <c r="E12" s="5" t="s">
        <v>21</v>
      </c>
      <c r="F12" s="6" t="s">
        <v>2</v>
      </c>
      <c r="G12" s="6" t="s">
        <v>3</v>
      </c>
      <c r="I12" s="17" t="str">
        <f>E30</f>
        <v>CMMonitor</v>
      </c>
      <c r="J12" s="20">
        <f>ROUNDUP(F31/1024,0)*1.1</f>
        <v>5.5</v>
      </c>
    </row>
    <row r="13" spans="2:10" x14ac:dyDescent="0.25">
      <c r="E13" s="1" t="str">
        <f>$E$7</f>
        <v>Total db Size (MB)</v>
      </c>
      <c r="F13" s="7">
        <f>$F$7*0.33</f>
        <v>84480</v>
      </c>
      <c r="G13" s="7">
        <f>F13*0.25</f>
        <v>21120</v>
      </c>
      <c r="I13" s="61" t="s">
        <v>32</v>
      </c>
      <c r="J13" s="62"/>
    </row>
    <row r="14" spans="2:10" ht="16.5" x14ac:dyDescent="0.3">
      <c r="B14" s="63" t="s">
        <v>13</v>
      </c>
      <c r="C14" s="63"/>
      <c r="E14" s="1" t="str">
        <f>$E$8</f>
        <v>Number of Files</v>
      </c>
      <c r="F14" s="7">
        <f>IF(($C$10)&lt;8,($C$10)*0.5,IF(($C$10*0.25)&gt;8,8,($C$10*0.25)))</f>
        <v>2</v>
      </c>
      <c r="G14" s="7">
        <v>1</v>
      </c>
      <c r="I14" s="14" t="s">
        <v>20</v>
      </c>
      <c r="J14" s="18">
        <f>ROUNDUP(SUM(J15:J16),0)</f>
        <v>0</v>
      </c>
    </row>
    <row r="15" spans="2:10" x14ac:dyDescent="0.25">
      <c r="B15" s="1" t="s">
        <v>14</v>
      </c>
      <c r="C15" s="3" t="s">
        <v>26</v>
      </c>
      <c r="E15" s="9" t="str">
        <f>$E$9</f>
        <v>Size per file (MB)</v>
      </c>
      <c r="F15" s="11">
        <f>F13/F14</f>
        <v>42240</v>
      </c>
      <c r="G15" s="11">
        <f>G13/G14</f>
        <v>21120</v>
      </c>
      <c r="I15" s="34" t="s">
        <v>33</v>
      </c>
      <c r="J15" s="35">
        <f>ROUNDUP(IF(C30="Y",0,F19/1024),0)*1.1</f>
        <v>0</v>
      </c>
    </row>
    <row r="16" spans="2:10" x14ac:dyDescent="0.25">
      <c r="B16" s="1" t="s">
        <v>16</v>
      </c>
      <c r="C16" s="8">
        <v>2019</v>
      </c>
      <c r="E16" s="1" t="str">
        <f>$E$10</f>
        <v>Autogrowth (MB)</v>
      </c>
      <c r="F16" s="7">
        <f>MAX(1024,F15*10%)</f>
        <v>4224</v>
      </c>
      <c r="G16" s="7">
        <f>MAX(1024,G15*20%)</f>
        <v>4224</v>
      </c>
      <c r="I16" s="37" t="s">
        <v>34</v>
      </c>
      <c r="J16" s="38">
        <f>ROUNDUP(IF(C30="Y",0,G19/1024),0)*1.1</f>
        <v>0</v>
      </c>
    </row>
    <row r="17" spans="2:10" x14ac:dyDescent="0.25">
      <c r="B17" s="1" t="s">
        <v>17</v>
      </c>
      <c r="C17" s="56">
        <f>IF($C$15="N",$C$11*1024*0.65,$C$11*1024*0.45)</f>
        <v>10649.6</v>
      </c>
      <c r="I17" s="51" t="str">
        <f>E12</f>
        <v>TempDB</v>
      </c>
      <c r="J17" s="53"/>
    </row>
    <row r="18" spans="2:10" x14ac:dyDescent="0.25">
      <c r="B18" s="1" t="s">
        <v>18</v>
      </c>
      <c r="C18" s="56">
        <f>IF($C$15="N",$C$11*1024*0.85,$C$11*1024*0.65)</f>
        <v>13926.4</v>
      </c>
      <c r="E18" s="5" t="s">
        <v>19</v>
      </c>
      <c r="F18" s="6" t="s">
        <v>2</v>
      </c>
      <c r="G18" s="6" t="s">
        <v>3</v>
      </c>
      <c r="I18" s="34" t="str">
        <f>E12</f>
        <v>TempDB</v>
      </c>
      <c r="J18" s="35" t="str">
        <f>ROUNDUP((F13/1024)*1.1,0)&amp;" GB"</f>
        <v>91 GB</v>
      </c>
    </row>
    <row r="19" spans="2:10" x14ac:dyDescent="0.25">
      <c r="E19" s="1" t="str">
        <f>$E$7</f>
        <v>Total db Size (MB)</v>
      </c>
      <c r="F19" s="7">
        <f>IF(C31="Y",10*1024,30*1024)</f>
        <v>30720</v>
      </c>
      <c r="G19" s="7">
        <f>F19*0.25</f>
        <v>7680</v>
      </c>
      <c r="I19" s="52" t="s">
        <v>3</v>
      </c>
      <c r="J19" s="54"/>
    </row>
    <row r="20" spans="2:10" ht="16.5" x14ac:dyDescent="0.25">
      <c r="B20" s="57" t="s">
        <v>25</v>
      </c>
      <c r="C20" s="58"/>
      <c r="E20" s="1" t="str">
        <f>$E$8</f>
        <v>Number of Files</v>
      </c>
      <c r="F20" s="7">
        <v>2</v>
      </c>
      <c r="G20" s="7">
        <v>1</v>
      </c>
      <c r="I20" s="14" t="s">
        <v>20</v>
      </c>
      <c r="J20" s="18" t="str">
        <f>ROUNDUP(SUM(J21:J25),0)&amp;" GB"</f>
        <v>106 GB</v>
      </c>
    </row>
    <row r="21" spans="2:10" x14ac:dyDescent="0.25">
      <c r="B21" s="39">
        <v>1117</v>
      </c>
      <c r="C21" s="45" t="s">
        <v>15</v>
      </c>
      <c r="E21" s="9" t="str">
        <f>$E$9</f>
        <v>Size per file (MB)</v>
      </c>
      <c r="F21" s="11">
        <f>$F19/$F20</f>
        <v>15360</v>
      </c>
      <c r="G21" s="11">
        <f>G19/G20</f>
        <v>7680</v>
      </c>
      <c r="I21" s="15" t="str">
        <f>E6</f>
        <v>Configmgr</v>
      </c>
      <c r="J21" s="36">
        <f>ROUNDUP(G7/1024,0)*1.1</f>
        <v>69.300000000000011</v>
      </c>
    </row>
    <row r="22" spans="2:10" x14ac:dyDescent="0.25">
      <c r="B22" s="46">
        <v>1118</v>
      </c>
      <c r="C22" s="47" t="s">
        <v>15</v>
      </c>
      <c r="E22" s="1" t="str">
        <f>$E$10</f>
        <v>Autogrowth (MB)</v>
      </c>
      <c r="F22" s="7">
        <f>MAX(1024,F21*10%)</f>
        <v>1536</v>
      </c>
      <c r="G22" s="7">
        <f>MAX(1024,G21*20%)</f>
        <v>1536</v>
      </c>
      <c r="I22" s="16" t="str">
        <f>E12</f>
        <v>TempDB</v>
      </c>
      <c r="J22" s="21">
        <f>ROUNDUP(G13/1024,0)*1.1</f>
        <v>23.1</v>
      </c>
    </row>
    <row r="23" spans="2:10" x14ac:dyDescent="0.25">
      <c r="I23" s="16" t="str">
        <f>E18</f>
        <v>WSUS</v>
      </c>
      <c r="J23" s="21">
        <f>ROUNDUP(IF(C30="Y",G19/1024,0),0)*1.1</f>
        <v>8.8000000000000007</v>
      </c>
    </row>
    <row r="24" spans="2:10" ht="16.5" x14ac:dyDescent="0.25">
      <c r="B24" s="57" t="s">
        <v>27</v>
      </c>
      <c r="C24" s="58"/>
      <c r="E24" s="5" t="s">
        <v>22</v>
      </c>
      <c r="F24" s="6" t="s">
        <v>2</v>
      </c>
      <c r="G24" s="6" t="s">
        <v>3</v>
      </c>
      <c r="I24" s="16" t="str">
        <f>E24</f>
        <v>Other</v>
      </c>
      <c r="J24" s="21">
        <f>ROUNDUP(G25/1024,0)*1.1</f>
        <v>2.2000000000000002</v>
      </c>
    </row>
    <row r="25" spans="2:10" x14ac:dyDescent="0.25">
      <c r="B25" s="39" t="s">
        <v>28</v>
      </c>
      <c r="C25" s="40" t="str">
        <f>IF(C16=2019, "150, 140, 130, 120, 110", IF(C16=2017, "140, 130, 120, 110", IF(C16=2016, "130, 120, 110", IF(C16=2014, "120, 110", ""))))</f>
        <v>150, 140, 130, 120, 110</v>
      </c>
      <c r="E25" s="1" t="str">
        <f>$E$7</f>
        <v>Total db Size (MB)</v>
      </c>
      <c r="F25" s="31">
        <v>5000</v>
      </c>
      <c r="G25" s="31">
        <f>$F$25*0.25</f>
        <v>1250</v>
      </c>
      <c r="I25" s="43" t="str">
        <f>E30</f>
        <v>CMMonitor</v>
      </c>
      <c r="J25" s="50">
        <f>ROUNDUP(G31/1024,0)*1.1</f>
        <v>2.2000000000000002</v>
      </c>
    </row>
    <row r="26" spans="2:10" x14ac:dyDescent="0.25">
      <c r="B26" s="41" t="s">
        <v>29</v>
      </c>
      <c r="C26" s="42">
        <f>IF(C16=2019, 150,IF(C16=2017, 140, IF(C16=2016, 130, IF(C16=2014, 110, ""))))</f>
        <v>150</v>
      </c>
      <c r="E26" s="1" t="str">
        <f>$E$8</f>
        <v>Number of Files</v>
      </c>
      <c r="F26" s="31">
        <v>1</v>
      </c>
      <c r="G26" s="31">
        <v>1</v>
      </c>
    </row>
    <row r="27" spans="2:10" ht="28.5" x14ac:dyDescent="0.25">
      <c r="B27" s="43" t="s">
        <v>30</v>
      </c>
      <c r="C27" s="44">
        <f>IF(C16=2019,110,IF(C16=2017, 110, IF(C16=2016, 110, IF(C16=2014, 110, ""))))</f>
        <v>110</v>
      </c>
      <c r="E27" s="1" t="str">
        <f>$E$9</f>
        <v>Size per file (MB)</v>
      </c>
      <c r="F27" s="7">
        <f>F25/F26</f>
        <v>5000</v>
      </c>
      <c r="G27" s="7">
        <f>G25/G26</f>
        <v>1250</v>
      </c>
    </row>
    <row r="28" spans="2:10" x14ac:dyDescent="0.25">
      <c r="E28" s="1" t="str">
        <f>$E$10</f>
        <v>Autogrowth (MB)</v>
      </c>
      <c r="F28" s="7">
        <f>MAX(1024,F27*10%)</f>
        <v>1024</v>
      </c>
      <c r="G28" s="7">
        <f>MAX(1024,G27*20%)</f>
        <v>1024</v>
      </c>
    </row>
    <row r="29" spans="2:10" ht="16.5" x14ac:dyDescent="0.25">
      <c r="B29" s="57" t="s">
        <v>24</v>
      </c>
      <c r="C29" s="58"/>
    </row>
    <row r="30" spans="2:10" x14ac:dyDescent="0.25">
      <c r="B30" s="15" t="s">
        <v>31</v>
      </c>
      <c r="C30" s="48" t="s">
        <v>15</v>
      </c>
      <c r="E30" s="5" t="s">
        <v>23</v>
      </c>
      <c r="F30" s="6" t="s">
        <v>2</v>
      </c>
      <c r="G30" s="6" t="s">
        <v>3</v>
      </c>
    </row>
    <row r="31" spans="2:10" x14ac:dyDescent="0.25">
      <c r="B31" s="17" t="s">
        <v>35</v>
      </c>
      <c r="C31" s="49" t="s">
        <v>26</v>
      </c>
      <c r="E31" s="1" t="str">
        <f>$E$7</f>
        <v>Total db Size (MB)</v>
      </c>
      <c r="F31" s="31">
        <f>5*1024</f>
        <v>5120</v>
      </c>
      <c r="G31" s="31">
        <f>$F$31*0.25</f>
        <v>1280</v>
      </c>
    </row>
    <row r="32" spans="2:10" x14ac:dyDescent="0.25">
      <c r="E32" s="1" t="str">
        <f>$E$8</f>
        <v>Number of Files</v>
      </c>
      <c r="F32" s="31">
        <v>1</v>
      </c>
      <c r="G32" s="31">
        <v>1</v>
      </c>
    </row>
    <row r="33" spans="2:7" ht="15.75" customHeight="1" x14ac:dyDescent="0.25">
      <c r="E33" s="1" t="str">
        <f>$E$9</f>
        <v>Size per file (MB)</v>
      </c>
      <c r="F33" s="7">
        <f>F31/F32</f>
        <v>5120</v>
      </c>
      <c r="G33" s="7">
        <f>G31/G32</f>
        <v>1280</v>
      </c>
    </row>
    <row r="34" spans="2:7" x14ac:dyDescent="0.25">
      <c r="E34" s="1" t="str">
        <f>$E$10</f>
        <v>Autogrowth (MB)</v>
      </c>
      <c r="F34" s="7">
        <f>MAX(1024,F33*10%)</f>
        <v>1024</v>
      </c>
      <c r="G34" s="7">
        <f>MAX(1024,G33*20%)</f>
        <v>1024</v>
      </c>
    </row>
    <row r="38" spans="2:7" x14ac:dyDescent="0.25">
      <c r="B38" s="12"/>
      <c r="C38" s="10"/>
    </row>
    <row r="41" spans="2:7" x14ac:dyDescent="0.25">
      <c r="D41" s="22"/>
    </row>
    <row r="68" spans="2:3" x14ac:dyDescent="0.25">
      <c r="B68" s="25"/>
      <c r="C68" s="29"/>
    </row>
    <row r="69" spans="2:3" x14ac:dyDescent="0.25">
      <c r="B69" s="25"/>
      <c r="C69" s="29"/>
    </row>
    <row r="70" spans="2:3" x14ac:dyDescent="0.25">
      <c r="B70" s="25"/>
      <c r="C70" s="30"/>
    </row>
    <row r="71" spans="2:3" ht="16.5" x14ac:dyDescent="0.25">
      <c r="B71" s="23"/>
      <c r="C71" s="24"/>
    </row>
    <row r="72" spans="2:3" x14ac:dyDescent="0.25">
      <c r="B72" s="25"/>
      <c r="C72" s="26"/>
    </row>
    <row r="73" spans="2:3" x14ac:dyDescent="0.25">
      <c r="B73" s="25"/>
      <c r="C73" s="26"/>
    </row>
    <row r="74" spans="2:3" x14ac:dyDescent="0.25">
      <c r="B74" s="24"/>
      <c r="C74" s="24"/>
    </row>
    <row r="75" spans="2:3" ht="16.5" x14ac:dyDescent="0.25">
      <c r="B75" s="27"/>
      <c r="C75" s="24"/>
    </row>
    <row r="76" spans="2:3" x14ac:dyDescent="0.25">
      <c r="B76" s="24"/>
      <c r="C76" s="28"/>
    </row>
    <row r="77" spans="2:3" x14ac:dyDescent="0.25">
      <c r="B77" s="24"/>
      <c r="C77" s="28"/>
    </row>
  </sheetData>
  <mergeCells count="8">
    <mergeCell ref="B29:C29"/>
    <mergeCell ref="I7:J7"/>
    <mergeCell ref="I13:J13"/>
    <mergeCell ref="B6:C6"/>
    <mergeCell ref="B14:C14"/>
    <mergeCell ref="I6:J6"/>
    <mergeCell ref="B20:C20"/>
    <mergeCell ref="B24:C24"/>
  </mergeCells>
  <dataValidations disablePrompts="1" xWindow="794" yWindow="620" count="1">
    <dataValidation type="list" allowBlank="1" showInputMessage="1" showErrorMessage="1" sqref="C76:C77 C72:C73" xr:uid="{00000000-0002-0000-0100-000001000000}">
      <formula1>#REF!</formula1>
    </dataValidation>
  </dataValidations>
  <pageMargins left="0.7" right="0.7" top="0.75" bottom="0.75" header="0.3" footer="0.3"/>
  <pageSetup paperSize="9" orientation="portrait" horizontalDpi="200" verticalDpi="200" r:id="rId1"/>
  <ignoredErrors>
    <ignoredError sqref="F9:G9 F7:G7" unlockedFormula="1"/>
  </ignoredError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775EF30E9A627428E2D02B1FDC2B8A1" ma:contentTypeVersion="0" ma:contentTypeDescription="Create a new document." ma:contentTypeScope="" ma:versionID="1547e308ce83e529bcf2323c4c616080">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1F519D-4301-4625-B4A3-AC2F19B94E92}">
  <ds:schemaRefs>
    <ds:schemaRef ds:uri="http://schemas.microsoft.com/office/2006/documentManagement/types"/>
    <ds:schemaRef ds:uri="http://schemas.openxmlformats.org/package/2006/metadata/core-properties"/>
    <ds:schemaRef ds:uri="http://purl.org/dc/elements/1.1/"/>
    <ds:schemaRef ds:uri="http://purl.org/dc/terms/"/>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AF766EB-4884-441F-AB19-134C72CB7D9A}">
  <ds:schemaRefs>
    <ds:schemaRef ds:uri="http://schemas.microsoft.com/sharepoint/v3/contenttype/forms"/>
  </ds:schemaRefs>
</ds:datastoreItem>
</file>

<file path=customXml/itemProps3.xml><?xml version="1.0" encoding="utf-8"?>
<ds:datastoreItem xmlns:ds="http://schemas.openxmlformats.org/officeDocument/2006/customXml" ds:itemID="{2156EDE8-E63A-4118-B379-5DE5659ED0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 Sizing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SCCM DB Size Calculator</dc:title>
  <dc:subject>SCCM DB Size Calculator</dc:subject>
  <dc:creator>Raphael Perez</dc:creator>
  <cp:keywords>sccm, documentation, systemcenter, configmgr, sql, calculator</cp:keywords>
  <dc:description/>
  <cp:lastModifiedBy>Raphael @ Perez.net.br</cp:lastModifiedBy>
  <cp:revision/>
  <dcterms:created xsi:type="dcterms:W3CDTF">2012-08-14T09:51:38Z</dcterms:created>
  <dcterms:modified xsi:type="dcterms:W3CDTF">2022-03-02T12:18:35Z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0x0101007775EF30E9A627428E2D02B1FDC2B8A1</vt:lpwstr>
  </property>
  <property fmtid="{D5CDD505-2E9C-101B-9397-08002B2CF9AE}" pid="3" name="MSIP_Label_514ac1ad-18a2-4d44-a8de-15eb91446b08_Enabled">
    <vt:lpwstr>True</vt:lpwstr>
  </property>
  <property fmtid="{D5CDD505-2E9C-101B-9397-08002B2CF9AE}" pid="4" name="MSIP_Label_514ac1ad-18a2-4d44-a8de-15eb91446b08_SiteId">
    <vt:lpwstr>375ae835-5f41-42ad-8fad-77a34f332adf</vt:lpwstr>
  </property>
  <property fmtid="{D5CDD505-2E9C-101B-9397-08002B2CF9AE}" pid="5" name="MSIP_Label_514ac1ad-18a2-4d44-a8de-15eb91446b08_Ref">
    <vt:lpwstr>https://api.informationprotection.azure.com/api/375ae835-5f41-42ad-8fad-77a34f332adf</vt:lpwstr>
  </property>
  <property fmtid="{D5CDD505-2E9C-101B-9397-08002B2CF9AE}" pid="6" name="MSIP_Label_514ac1ad-18a2-4d44-a8de-15eb91446b08_Owner">
    <vt:lpwstr>raphael@perez.net.br</vt:lpwstr>
  </property>
  <property fmtid="{D5CDD505-2E9C-101B-9397-08002B2CF9AE}" pid="7" name="MSIP_Label_514ac1ad-18a2-4d44-a8de-15eb91446b08_SetDate">
    <vt:lpwstr>2017-12-08T14:53:59.5875421+00:00</vt:lpwstr>
  </property>
  <property fmtid="{D5CDD505-2E9C-101B-9397-08002B2CF9AE}" pid="8" name="MSIP_Label_514ac1ad-18a2-4d44-a8de-15eb91446b08_Name">
    <vt:lpwstr>Public</vt:lpwstr>
  </property>
  <property fmtid="{D5CDD505-2E9C-101B-9397-08002B2CF9AE}" pid="9" name="MSIP_Label_514ac1ad-18a2-4d44-a8de-15eb91446b08_Application">
    <vt:lpwstr>Microsoft Azure Information Protection</vt:lpwstr>
  </property>
  <property fmtid="{D5CDD505-2E9C-101B-9397-08002B2CF9AE}" pid="10" name="MSIP_Label_514ac1ad-18a2-4d44-a8de-15eb91446b08_Extended_MSFT_Method">
    <vt:lpwstr>Automatic</vt:lpwstr>
  </property>
  <property fmtid="{D5CDD505-2E9C-101B-9397-08002B2CF9AE}" pid="11" name="Sensitivity">
    <vt:lpwstr>Public</vt:lpwstr>
  </property>
</Properties>
</file>