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965" yWindow="15" windowWidth="14295" windowHeight="12750" activeTab="1"/>
  </bookViews>
  <sheets>
    <sheet name="CashS" sheetId="3" r:id="rId1"/>
    <sheet name="Deposits" sheetId="1" r:id="rId2"/>
    <sheet name="Disb" sheetId="2" r:id="rId3"/>
  </sheets>
  <definedNames>
    <definedName name="_xlnm.Print_Area" localSheetId="0">CashS!#REF!</definedName>
    <definedName name="_xlnm.Print_Area" localSheetId="1">Deposits!#REF!</definedName>
    <definedName name="_xlnm.Print_Area" localSheetId="2">Disb!#REF!</definedName>
  </definedNames>
  <calcPr calcId="145621"/>
</workbook>
</file>

<file path=xl/calcChain.xml><?xml version="1.0" encoding="utf-8"?>
<calcChain xmlns="http://schemas.openxmlformats.org/spreadsheetml/2006/main">
  <c r="G20" i="3" l="1"/>
  <c r="B209" i="2" l="1"/>
  <c r="C208" i="2" l="1"/>
  <c r="M208" i="1"/>
  <c r="B208" i="2"/>
  <c r="I20" i="3" l="1"/>
  <c r="B193" i="2" l="1"/>
  <c r="L229" i="1"/>
  <c r="L228" i="1"/>
  <c r="I202" i="1"/>
  <c r="I196" i="1"/>
  <c r="I195" i="1"/>
  <c r="I194" i="1"/>
  <c r="I193" i="1"/>
  <c r="C203" i="1"/>
  <c r="G201" i="1" l="1"/>
  <c r="F203" i="1"/>
  <c r="M202" i="1" l="1"/>
  <c r="B202" i="1"/>
  <c r="G200" i="1" l="1"/>
  <c r="G197" i="1" l="1"/>
  <c r="B197" i="2"/>
  <c r="F197" i="1"/>
  <c r="B196" i="2" l="1"/>
  <c r="G196" i="1"/>
  <c r="B151" i="1"/>
  <c r="B168" i="2" l="1"/>
  <c r="B169" i="2"/>
  <c r="I183" i="1"/>
  <c r="D183" i="1"/>
  <c r="C183" i="1"/>
  <c r="I179" i="1"/>
  <c r="I173" i="1"/>
  <c r="D168" i="1"/>
  <c r="J166" i="1"/>
  <c r="G151" i="1"/>
  <c r="B195" i="2" l="1"/>
  <c r="B194" i="2" l="1"/>
  <c r="M198" i="1" l="1"/>
  <c r="L222" i="1"/>
  <c r="L223" i="1"/>
  <c r="L224" i="1"/>
  <c r="L225" i="1"/>
  <c r="L221" i="1"/>
  <c r="L215" i="1"/>
  <c r="L216" i="1"/>
  <c r="L217" i="1"/>
  <c r="L218" i="1"/>
  <c r="L214" i="1"/>
  <c r="L176" i="1"/>
  <c r="L211" i="1"/>
  <c r="L208" i="1"/>
  <c r="L209" i="1"/>
  <c r="L210" i="1"/>
  <c r="L207" i="1"/>
  <c r="L201" i="1"/>
  <c r="L202" i="1"/>
  <c r="L203" i="1"/>
  <c r="L204" i="1"/>
  <c r="L200" i="1"/>
  <c r="L194" i="1"/>
  <c r="L195" i="1"/>
  <c r="L196" i="1"/>
  <c r="L197" i="1"/>
  <c r="L193" i="1"/>
  <c r="M12" i="3"/>
  <c r="M10" i="3"/>
  <c r="L198" i="1" l="1"/>
  <c r="B183" i="2"/>
  <c r="B183" i="1"/>
  <c r="C176" i="2" l="1"/>
  <c r="C169" i="2"/>
  <c r="B176" i="2"/>
  <c r="B175" i="2"/>
  <c r="I175" i="1" l="1"/>
  <c r="G175" i="1"/>
  <c r="G174" i="1" l="1"/>
  <c r="B182" i="2" l="1"/>
  <c r="B172" i="2"/>
  <c r="M182" i="1"/>
  <c r="C90" i="2" l="1"/>
  <c r="F168" i="1" l="1"/>
  <c r="G168" i="1"/>
  <c r="B167" i="2" l="1"/>
  <c r="B166" i="2" l="1"/>
  <c r="I23" i="3" l="1"/>
  <c r="B160" i="2" l="1"/>
  <c r="B161" i="2"/>
  <c r="M159" i="1" l="1"/>
  <c r="B159" i="2" l="1"/>
  <c r="B136" i="2" l="1"/>
  <c r="C136" i="2"/>
  <c r="B158" i="2" l="1"/>
  <c r="G158" i="1"/>
  <c r="B129" i="2" l="1"/>
  <c r="I134" i="1"/>
  <c r="I109" i="1"/>
  <c r="I116" i="1"/>
  <c r="G155" i="1" l="1"/>
  <c r="M155" i="1"/>
  <c r="B153" i="2" l="1"/>
  <c r="B126" i="2" l="1"/>
  <c r="B114" i="2"/>
  <c r="D134" i="1"/>
  <c r="C134" i="1"/>
  <c r="B134" i="1"/>
  <c r="D119" i="1"/>
  <c r="B105" i="1"/>
  <c r="B151" i="2" l="1"/>
  <c r="B152" i="2" l="1"/>
  <c r="I152" i="1"/>
  <c r="F152" i="1"/>
  <c r="L183" i="1" l="1"/>
  <c r="L182" i="1"/>
  <c r="L179" i="1"/>
  <c r="L173" i="1"/>
  <c r="L174" i="1"/>
  <c r="L175" i="1"/>
  <c r="L172" i="1"/>
  <c r="L166" i="1"/>
  <c r="L167" i="1"/>
  <c r="L168" i="1"/>
  <c r="L169" i="1"/>
  <c r="L165" i="1"/>
  <c r="L159" i="1"/>
  <c r="L160" i="1"/>
  <c r="L161" i="1"/>
  <c r="L162" i="1"/>
  <c r="L158" i="1"/>
  <c r="L152" i="1"/>
  <c r="L153" i="1"/>
  <c r="L154" i="1"/>
  <c r="L155" i="1"/>
  <c r="L151" i="1"/>
  <c r="L145" i="1"/>
  <c r="L146" i="1"/>
  <c r="L147" i="1"/>
  <c r="L148" i="1"/>
  <c r="L144" i="1"/>
  <c r="L149" i="1" l="1"/>
  <c r="I129" i="1"/>
  <c r="H129" i="1"/>
  <c r="G129" i="1"/>
  <c r="E129" i="1"/>
  <c r="N131" i="1" l="1"/>
  <c r="C129" i="2"/>
  <c r="F128" i="1" l="1"/>
  <c r="B127" i="2" l="1"/>
  <c r="C134" i="2" l="1"/>
  <c r="C120" i="2" l="1"/>
  <c r="M120" i="1"/>
  <c r="I120" i="1"/>
  <c r="C101" i="2" l="1"/>
  <c r="G115" i="1" l="1"/>
  <c r="G112" i="1" l="1"/>
  <c r="B109" i="2"/>
  <c r="G108" i="1" l="1"/>
  <c r="B107" i="2"/>
  <c r="B106" i="2" l="1"/>
  <c r="B99" i="2"/>
  <c r="G105" i="1" l="1"/>
  <c r="B80" i="2" l="1"/>
  <c r="B76" i="2"/>
  <c r="I88" i="1"/>
  <c r="D88" i="1"/>
  <c r="C88" i="1"/>
  <c r="B80" i="1"/>
  <c r="D73" i="1"/>
  <c r="I75" i="1"/>
  <c r="C53" i="1"/>
  <c r="G101" i="1" l="1"/>
  <c r="G100" i="1" l="1"/>
  <c r="M80" i="1" l="1"/>
  <c r="B88" i="1"/>
  <c r="F99" i="1" l="1"/>
  <c r="L134" i="1" l="1"/>
  <c r="L133" i="1"/>
  <c r="L127" i="1"/>
  <c r="L128" i="1"/>
  <c r="L129" i="1"/>
  <c r="L126" i="1"/>
  <c r="L120" i="1"/>
  <c r="L121" i="1"/>
  <c r="L122" i="1"/>
  <c r="L123" i="1"/>
  <c r="L119" i="1"/>
  <c r="L113" i="1"/>
  <c r="L114" i="1"/>
  <c r="L115" i="1"/>
  <c r="L116" i="1"/>
  <c r="L112" i="1"/>
  <c r="L106" i="1"/>
  <c r="L107" i="1"/>
  <c r="L108" i="1"/>
  <c r="L109" i="1"/>
  <c r="L105" i="1"/>
  <c r="L99" i="1"/>
  <c r="L100" i="1"/>
  <c r="L101" i="1"/>
  <c r="L102" i="1"/>
  <c r="L98" i="1"/>
  <c r="L52" i="1"/>
  <c r="L103" i="1" l="1"/>
  <c r="G80" i="1"/>
  <c r="B77" i="1" l="1"/>
  <c r="F74" i="1" l="1"/>
  <c r="G74" i="1"/>
  <c r="M54" i="1" l="1"/>
  <c r="C67" i="1" l="1"/>
  <c r="L88" i="1" l="1"/>
  <c r="L87" i="1"/>
  <c r="B60" i="2"/>
  <c r="I42" i="1" l="1"/>
  <c r="D42" i="1"/>
  <c r="D23" i="1"/>
  <c r="L81" i="1" l="1"/>
  <c r="L82" i="1"/>
  <c r="L83" i="1"/>
  <c r="L84" i="1"/>
  <c r="L80" i="1"/>
  <c r="L74" i="1"/>
  <c r="L75" i="1"/>
  <c r="L76" i="1"/>
  <c r="L77" i="1"/>
  <c r="L73" i="1"/>
  <c r="L67" i="1"/>
  <c r="L68" i="1"/>
  <c r="L69" i="1"/>
  <c r="L70" i="1"/>
  <c r="L66" i="1"/>
  <c r="L60" i="1"/>
  <c r="L61" i="1"/>
  <c r="L62" i="1"/>
  <c r="L63" i="1"/>
  <c r="L59" i="1"/>
  <c r="L53" i="1"/>
  <c r="L54" i="1"/>
  <c r="L55" i="1"/>
  <c r="L56" i="1"/>
  <c r="C52" i="2"/>
  <c r="C42" i="1" l="1"/>
  <c r="B42" i="1"/>
  <c r="E30" i="1" l="1"/>
  <c r="B30" i="1"/>
  <c r="G30" i="1"/>
  <c r="G29" i="1"/>
  <c r="M42" i="1"/>
  <c r="G41" i="1"/>
  <c r="G42" i="1"/>
  <c r="B30" i="2"/>
  <c r="C22" i="2" l="1"/>
  <c r="B22" i="2"/>
  <c r="C21" i="1" l="1"/>
  <c r="B14" i="2" l="1"/>
  <c r="G15" i="1"/>
  <c r="B10" i="2" l="1"/>
  <c r="B7" i="2"/>
  <c r="B9" i="2" l="1"/>
  <c r="C559" i="2" l="1"/>
  <c r="D559" i="2"/>
  <c r="E559" i="2"/>
  <c r="B559" i="2"/>
  <c r="C554" i="2"/>
  <c r="D554" i="2"/>
  <c r="E554" i="2"/>
  <c r="B554" i="2"/>
  <c r="C326" i="2"/>
  <c r="D326" i="2"/>
  <c r="E326" i="2"/>
  <c r="B326" i="2"/>
  <c r="C321" i="2"/>
  <c r="D321" i="2"/>
  <c r="E321" i="2"/>
  <c r="B321" i="2"/>
  <c r="C180" i="2"/>
  <c r="D180" i="2"/>
  <c r="E180" i="2"/>
  <c r="B180" i="2"/>
  <c r="O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554" i="1"/>
  <c r="O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321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B226" i="1"/>
  <c r="O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77" i="1"/>
  <c r="B180" i="1"/>
  <c r="O326" i="1" l="1"/>
  <c r="B326" i="1"/>
  <c r="K326" i="1"/>
  <c r="G326" i="1"/>
  <c r="C326" i="1"/>
  <c r="N326" i="1"/>
  <c r="J326" i="1"/>
  <c r="F326" i="1"/>
  <c r="M326" i="1"/>
  <c r="I326" i="1"/>
  <c r="E326" i="1"/>
  <c r="L326" i="1"/>
  <c r="H326" i="1"/>
  <c r="D326" i="1"/>
  <c r="L42" i="1"/>
  <c r="L41" i="1"/>
  <c r="L35" i="1"/>
  <c r="L36" i="1"/>
  <c r="L37" i="1"/>
  <c r="L38" i="1"/>
  <c r="L34" i="1"/>
  <c r="L28" i="1"/>
  <c r="L29" i="1"/>
  <c r="L30" i="1"/>
  <c r="L31" i="1"/>
  <c r="L27" i="1"/>
  <c r="L21" i="1"/>
  <c r="L22" i="1"/>
  <c r="L23" i="1"/>
  <c r="L24" i="1"/>
  <c r="L20" i="1"/>
  <c r="L14" i="1"/>
  <c r="L15" i="1"/>
  <c r="L16" i="1"/>
  <c r="L17" i="1"/>
  <c r="L13" i="1"/>
  <c r="L7" i="1"/>
  <c r="L8" i="1"/>
  <c r="L9" i="1"/>
  <c r="L10" i="1"/>
  <c r="L6" i="1"/>
  <c r="E551" i="2" l="1"/>
  <c r="D551" i="2"/>
  <c r="C551" i="2"/>
  <c r="B551" i="2"/>
  <c r="E544" i="2"/>
  <c r="D544" i="2"/>
  <c r="C544" i="2"/>
  <c r="B544" i="2"/>
  <c r="E537" i="2"/>
  <c r="D537" i="2"/>
  <c r="C537" i="2"/>
  <c r="B537" i="2"/>
  <c r="E530" i="2"/>
  <c r="D530" i="2"/>
  <c r="C530" i="2"/>
  <c r="B530" i="2"/>
  <c r="E523" i="2"/>
  <c r="D523" i="2"/>
  <c r="C523" i="2"/>
  <c r="B523" i="2"/>
  <c r="E505" i="2"/>
  <c r="E510" i="2" s="1"/>
  <c r="D505" i="2"/>
  <c r="D510" i="2" s="1"/>
  <c r="C505" i="2"/>
  <c r="C510" i="2" s="1"/>
  <c r="B505" i="2"/>
  <c r="E498" i="2"/>
  <c r="D498" i="2"/>
  <c r="C498" i="2"/>
  <c r="B498" i="2"/>
  <c r="E491" i="2"/>
  <c r="D491" i="2"/>
  <c r="C491" i="2"/>
  <c r="B491" i="2"/>
  <c r="E484" i="2"/>
  <c r="D484" i="2"/>
  <c r="C484" i="2"/>
  <c r="B484" i="2"/>
  <c r="E477" i="2"/>
  <c r="D477" i="2"/>
  <c r="C477" i="2"/>
  <c r="B477" i="2"/>
  <c r="B510" i="2" s="1"/>
  <c r="E459" i="2"/>
  <c r="E464" i="2" s="1"/>
  <c r="D459" i="2"/>
  <c r="D464" i="2" s="1"/>
  <c r="C459" i="2"/>
  <c r="C464" i="2" s="1"/>
  <c r="B459" i="2"/>
  <c r="E452" i="2"/>
  <c r="D452" i="2"/>
  <c r="C452" i="2"/>
  <c r="B452" i="2"/>
  <c r="E445" i="2"/>
  <c r="D445" i="2"/>
  <c r="C445" i="2"/>
  <c r="B445" i="2"/>
  <c r="E438" i="2"/>
  <c r="D438" i="2"/>
  <c r="C438" i="2"/>
  <c r="B438" i="2"/>
  <c r="E431" i="2"/>
  <c r="D431" i="2"/>
  <c r="C431" i="2"/>
  <c r="B431" i="2"/>
  <c r="B464" i="2" s="1"/>
  <c r="E413" i="2"/>
  <c r="E418" i="2" s="1"/>
  <c r="D413" i="2"/>
  <c r="D418" i="2" s="1"/>
  <c r="C413" i="2"/>
  <c r="C418" i="2" s="1"/>
  <c r="B413" i="2"/>
  <c r="E406" i="2"/>
  <c r="D406" i="2"/>
  <c r="C406" i="2"/>
  <c r="B406" i="2"/>
  <c r="E399" i="2"/>
  <c r="D399" i="2"/>
  <c r="C399" i="2"/>
  <c r="B399" i="2"/>
  <c r="E392" i="2"/>
  <c r="D392" i="2"/>
  <c r="C392" i="2"/>
  <c r="B392" i="2"/>
  <c r="E385" i="2"/>
  <c r="D385" i="2"/>
  <c r="C385" i="2"/>
  <c r="B385" i="2"/>
  <c r="B418" i="2" s="1"/>
  <c r="E367" i="2"/>
  <c r="E372" i="2" s="1"/>
  <c r="D367" i="2"/>
  <c r="D372" i="2" s="1"/>
  <c r="C367" i="2"/>
  <c r="C372" i="2" s="1"/>
  <c r="B367" i="2"/>
  <c r="E360" i="2"/>
  <c r="D360" i="2"/>
  <c r="C360" i="2"/>
  <c r="B360" i="2"/>
  <c r="E353" i="2"/>
  <c r="D353" i="2"/>
  <c r="C353" i="2"/>
  <c r="B353" i="2"/>
  <c r="E346" i="2"/>
  <c r="D346" i="2"/>
  <c r="C346" i="2"/>
  <c r="B346" i="2"/>
  <c r="E339" i="2"/>
  <c r="D339" i="2"/>
  <c r="C339" i="2"/>
  <c r="B339" i="2"/>
  <c r="B372" i="2" s="1"/>
  <c r="E318" i="2"/>
  <c r="D318" i="2"/>
  <c r="C318" i="2"/>
  <c r="B318" i="2"/>
  <c r="E311" i="2"/>
  <c r="D311" i="2"/>
  <c r="C311" i="2"/>
  <c r="B311" i="2"/>
  <c r="E304" i="2"/>
  <c r="D304" i="2"/>
  <c r="C304" i="2"/>
  <c r="B304" i="2"/>
  <c r="E297" i="2"/>
  <c r="D297" i="2"/>
  <c r="C297" i="2"/>
  <c r="B297" i="2"/>
  <c r="E290" i="2"/>
  <c r="D290" i="2"/>
  <c r="C290" i="2"/>
  <c r="B290" i="2"/>
  <c r="E272" i="2"/>
  <c r="E277" i="2" s="1"/>
  <c r="D272" i="2"/>
  <c r="D277" i="2" s="1"/>
  <c r="C272" i="2"/>
  <c r="C277" i="2" s="1"/>
  <c r="B272" i="2"/>
  <c r="E265" i="2"/>
  <c r="D265" i="2"/>
  <c r="C265" i="2"/>
  <c r="B265" i="2"/>
  <c r="E258" i="2"/>
  <c r="D258" i="2"/>
  <c r="C258" i="2"/>
  <c r="B258" i="2"/>
  <c r="E251" i="2"/>
  <c r="D251" i="2"/>
  <c r="C251" i="2"/>
  <c r="B251" i="2"/>
  <c r="E244" i="2"/>
  <c r="D244" i="2"/>
  <c r="C244" i="2"/>
  <c r="B244" i="2"/>
  <c r="B277" i="2" s="1"/>
  <c r="E226" i="2"/>
  <c r="E231" i="2" s="1"/>
  <c r="D226" i="2"/>
  <c r="C226" i="2"/>
  <c r="B226" i="2"/>
  <c r="E219" i="2"/>
  <c r="D219" i="2"/>
  <c r="C219" i="2"/>
  <c r="B219" i="2"/>
  <c r="E212" i="2"/>
  <c r="D212" i="2"/>
  <c r="C212" i="2"/>
  <c r="B212" i="2"/>
  <c r="E205" i="2"/>
  <c r="D205" i="2"/>
  <c r="C205" i="2"/>
  <c r="B205" i="2"/>
  <c r="E198" i="2"/>
  <c r="D198" i="2"/>
  <c r="C198" i="2"/>
  <c r="B198" i="2"/>
  <c r="E177" i="2"/>
  <c r="D177" i="2"/>
  <c r="D185" i="2" s="1"/>
  <c r="C177" i="2"/>
  <c r="B177" i="2"/>
  <c r="E170" i="2"/>
  <c r="E185" i="2" s="1"/>
  <c r="D170" i="2"/>
  <c r="C170" i="2"/>
  <c r="C185" i="2" s="1"/>
  <c r="B170" i="2"/>
  <c r="E163" i="2"/>
  <c r="D163" i="2"/>
  <c r="C163" i="2"/>
  <c r="B163" i="2"/>
  <c r="E156" i="2"/>
  <c r="D156" i="2"/>
  <c r="C156" i="2"/>
  <c r="B156" i="2"/>
  <c r="E149" i="2"/>
  <c r="D149" i="2"/>
  <c r="C149" i="2"/>
  <c r="B149" i="2"/>
  <c r="E131" i="2"/>
  <c r="E136" i="2" s="1"/>
  <c r="D131" i="2"/>
  <c r="D136" i="2" s="1"/>
  <c r="C131" i="2"/>
  <c r="B131" i="2"/>
  <c r="E124" i="2"/>
  <c r="D124" i="2"/>
  <c r="C124" i="2"/>
  <c r="B124" i="2"/>
  <c r="E117" i="2"/>
  <c r="D117" i="2"/>
  <c r="C117" i="2"/>
  <c r="B117" i="2"/>
  <c r="E110" i="2"/>
  <c r="D110" i="2"/>
  <c r="C110" i="2"/>
  <c r="B110" i="2"/>
  <c r="E103" i="2"/>
  <c r="D103" i="2"/>
  <c r="C103" i="2"/>
  <c r="B103" i="2"/>
  <c r="E85" i="2"/>
  <c r="E90" i="2" s="1"/>
  <c r="D85" i="2"/>
  <c r="D90" i="2" s="1"/>
  <c r="C85" i="2"/>
  <c r="B85" i="2"/>
  <c r="E78" i="2"/>
  <c r="D78" i="2"/>
  <c r="C78" i="2"/>
  <c r="B78" i="2"/>
  <c r="E71" i="2"/>
  <c r="D71" i="2"/>
  <c r="C71" i="2"/>
  <c r="B71" i="2"/>
  <c r="E64" i="2"/>
  <c r="D64" i="2"/>
  <c r="C64" i="2"/>
  <c r="B64" i="2"/>
  <c r="E57" i="2"/>
  <c r="D57" i="2"/>
  <c r="C57" i="2"/>
  <c r="B57" i="2"/>
  <c r="E11" i="2"/>
  <c r="E18" i="2"/>
  <c r="E25" i="2"/>
  <c r="E32" i="2"/>
  <c r="E39" i="2"/>
  <c r="E44" i="2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O523" i="1"/>
  <c r="O559" i="1" s="1"/>
  <c r="V44" i="3" s="1"/>
  <c r="N523" i="1"/>
  <c r="M523" i="1"/>
  <c r="L523" i="1"/>
  <c r="L559" i="1" s="1"/>
  <c r="K523" i="1"/>
  <c r="K559" i="1" s="1"/>
  <c r="J523" i="1"/>
  <c r="I523" i="1"/>
  <c r="I559" i="1" s="1"/>
  <c r="H523" i="1"/>
  <c r="H559" i="1" s="1"/>
  <c r="G523" i="1"/>
  <c r="G559" i="1" s="1"/>
  <c r="F523" i="1"/>
  <c r="E523" i="1"/>
  <c r="D523" i="1"/>
  <c r="D559" i="1" s="1"/>
  <c r="C523" i="1"/>
  <c r="C559" i="1" s="1"/>
  <c r="B523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O477" i="1"/>
  <c r="N477" i="1"/>
  <c r="M477" i="1"/>
  <c r="L477" i="1"/>
  <c r="K477" i="1"/>
  <c r="J477" i="1"/>
  <c r="I477" i="1"/>
  <c r="I510" i="1" s="1"/>
  <c r="H477" i="1"/>
  <c r="G477" i="1"/>
  <c r="F477" i="1"/>
  <c r="E477" i="1"/>
  <c r="E510" i="1" s="1"/>
  <c r="G43" i="3" s="1"/>
  <c r="D477" i="1"/>
  <c r="C477" i="1"/>
  <c r="B477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O431" i="1"/>
  <c r="N431" i="1"/>
  <c r="M431" i="1"/>
  <c r="L431" i="1"/>
  <c r="K431" i="1"/>
  <c r="J431" i="1"/>
  <c r="I431" i="1"/>
  <c r="H431" i="1"/>
  <c r="G431" i="1"/>
  <c r="G464" i="1" s="1"/>
  <c r="F431" i="1"/>
  <c r="E431" i="1"/>
  <c r="D431" i="1"/>
  <c r="C431" i="1"/>
  <c r="C464" i="1" s="1"/>
  <c r="B431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O385" i="1"/>
  <c r="N385" i="1"/>
  <c r="M385" i="1"/>
  <c r="L385" i="1"/>
  <c r="K385" i="1"/>
  <c r="J385" i="1"/>
  <c r="I385" i="1"/>
  <c r="I418" i="1" s="1"/>
  <c r="H385" i="1"/>
  <c r="G385" i="1"/>
  <c r="F385" i="1"/>
  <c r="E385" i="1"/>
  <c r="E418" i="1" s="1"/>
  <c r="G41" i="3" s="1"/>
  <c r="D385" i="1"/>
  <c r="C385" i="1"/>
  <c r="B385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O339" i="1"/>
  <c r="N339" i="1"/>
  <c r="M339" i="1"/>
  <c r="L339" i="1"/>
  <c r="K339" i="1"/>
  <c r="J339" i="1"/>
  <c r="I339" i="1"/>
  <c r="H339" i="1"/>
  <c r="G339" i="1"/>
  <c r="G372" i="1" s="1"/>
  <c r="F339" i="1"/>
  <c r="E339" i="1"/>
  <c r="D339" i="1"/>
  <c r="C339" i="1"/>
  <c r="C372" i="1" s="1"/>
  <c r="B339" i="1"/>
  <c r="V39" i="3"/>
  <c r="G39" i="3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O205" i="1"/>
  <c r="N205" i="1"/>
  <c r="M205" i="1"/>
  <c r="L205" i="1"/>
  <c r="K205" i="1"/>
  <c r="K231" i="1" s="1"/>
  <c r="J205" i="1"/>
  <c r="I205" i="1"/>
  <c r="H205" i="1"/>
  <c r="G205" i="1"/>
  <c r="F205" i="1"/>
  <c r="E205" i="1"/>
  <c r="D205" i="1"/>
  <c r="C205" i="1"/>
  <c r="B205" i="1"/>
  <c r="O198" i="1"/>
  <c r="N198" i="1"/>
  <c r="K198" i="1"/>
  <c r="J198" i="1"/>
  <c r="I198" i="1"/>
  <c r="H198" i="1"/>
  <c r="G198" i="1"/>
  <c r="F198" i="1"/>
  <c r="E198" i="1"/>
  <c r="D198" i="1"/>
  <c r="C198" i="1"/>
  <c r="B198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O149" i="1"/>
  <c r="N149" i="1"/>
  <c r="M149" i="1"/>
  <c r="K149" i="1"/>
  <c r="J149" i="1"/>
  <c r="I149" i="1"/>
  <c r="H149" i="1"/>
  <c r="G149" i="1"/>
  <c r="F149" i="1"/>
  <c r="E149" i="1"/>
  <c r="D149" i="1"/>
  <c r="C149" i="1"/>
  <c r="B149" i="1"/>
  <c r="O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O103" i="1"/>
  <c r="N103" i="1"/>
  <c r="M103" i="1"/>
  <c r="K103" i="1"/>
  <c r="J103" i="1"/>
  <c r="I103" i="1"/>
  <c r="H103" i="1"/>
  <c r="G103" i="1"/>
  <c r="F103" i="1"/>
  <c r="E103" i="1"/>
  <c r="D103" i="1"/>
  <c r="C103" i="1"/>
  <c r="B103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231" i="2" l="1"/>
  <c r="G12" i="3" s="1"/>
  <c r="D231" i="2"/>
  <c r="K12" i="3" s="1"/>
  <c r="L231" i="1"/>
  <c r="G10" i="3" s="1"/>
  <c r="C231" i="2"/>
  <c r="I12" i="3" s="1"/>
  <c r="B185" i="2"/>
  <c r="M185" i="1"/>
  <c r="P36" i="3" s="1"/>
  <c r="F185" i="1"/>
  <c r="B185" i="1"/>
  <c r="O277" i="1"/>
  <c r="V38" i="3" s="1"/>
  <c r="O372" i="1"/>
  <c r="V40" i="3" s="1"/>
  <c r="O464" i="1"/>
  <c r="V42" i="3" s="1"/>
  <c r="J185" i="1"/>
  <c r="N185" i="1"/>
  <c r="C185" i="1"/>
  <c r="G185" i="1"/>
  <c r="K185" i="1"/>
  <c r="O185" i="1"/>
  <c r="V36" i="3" s="1"/>
  <c r="B231" i="1"/>
  <c r="O231" i="1"/>
  <c r="V37" i="3" s="1"/>
  <c r="C510" i="1"/>
  <c r="G510" i="1"/>
  <c r="M559" i="1"/>
  <c r="E185" i="1"/>
  <c r="G36" i="3" s="1"/>
  <c r="I185" i="1"/>
  <c r="E277" i="1"/>
  <c r="G38" i="3" s="1"/>
  <c r="I277" i="1"/>
  <c r="E372" i="1"/>
  <c r="G40" i="3" s="1"/>
  <c r="I372" i="1"/>
  <c r="C418" i="1"/>
  <c r="G418" i="1"/>
  <c r="O418" i="1"/>
  <c r="V41" i="3" s="1"/>
  <c r="E464" i="1"/>
  <c r="G42" i="3" s="1"/>
  <c r="I464" i="1"/>
  <c r="O510" i="1"/>
  <c r="V43" i="3" s="1"/>
  <c r="E559" i="1"/>
  <c r="G44" i="3" s="1"/>
  <c r="D185" i="1"/>
  <c r="H185" i="1"/>
  <c r="L185" i="1"/>
  <c r="B277" i="1"/>
  <c r="F277" i="1"/>
  <c r="D277" i="1"/>
  <c r="H277" i="1"/>
  <c r="B372" i="1"/>
  <c r="F372" i="1"/>
  <c r="I40" i="3" s="1"/>
  <c r="D418" i="1"/>
  <c r="H418" i="1"/>
  <c r="B559" i="1"/>
  <c r="F559" i="1"/>
  <c r="I44" i="3" s="1"/>
  <c r="J559" i="1"/>
  <c r="N559" i="1"/>
  <c r="H136" i="1"/>
  <c r="O136" i="1"/>
  <c r="G136" i="1"/>
  <c r="D136" i="1"/>
  <c r="E35" i="3" s="1"/>
  <c r="C136" i="1"/>
  <c r="O90" i="1"/>
  <c r="F90" i="1"/>
  <c r="B90" i="2"/>
  <c r="E90" i="1"/>
  <c r="G34" i="3" s="1"/>
  <c r="I90" i="1"/>
  <c r="B90" i="1"/>
  <c r="C231" i="1"/>
  <c r="G231" i="1"/>
  <c r="E231" i="1"/>
  <c r="G37" i="3" s="1"/>
  <c r="I231" i="1"/>
  <c r="J90" i="1"/>
  <c r="L136" i="1"/>
  <c r="S36" i="3"/>
  <c r="N277" i="1"/>
  <c r="S38" i="3" s="1"/>
  <c r="J372" i="1"/>
  <c r="K40" i="3" s="1"/>
  <c r="L418" i="1"/>
  <c r="N464" i="1"/>
  <c r="S42" i="3" s="1"/>
  <c r="N136" i="1"/>
  <c r="N231" i="1"/>
  <c r="S39" i="3"/>
  <c r="N418" i="1"/>
  <c r="S41" i="3" s="1"/>
  <c r="N510" i="1"/>
  <c r="S43" i="3" s="1"/>
  <c r="K44" i="3"/>
  <c r="L277" i="1"/>
  <c r="N372" i="1"/>
  <c r="S40" i="3" s="1"/>
  <c r="E44" i="3"/>
  <c r="S44" i="3"/>
  <c r="N90" i="1"/>
  <c r="J277" i="1"/>
  <c r="K38" i="3" s="1"/>
  <c r="M90" i="1"/>
  <c r="K136" i="1"/>
  <c r="M231" i="1"/>
  <c r="P37" i="3" s="1"/>
  <c r="C277" i="1"/>
  <c r="E38" i="3" s="1"/>
  <c r="G277" i="1"/>
  <c r="I38" i="3" s="1"/>
  <c r="K277" i="1"/>
  <c r="M277" i="1"/>
  <c r="P38" i="3" s="1"/>
  <c r="M372" i="1"/>
  <c r="P40" i="3" s="1"/>
  <c r="K418" i="1"/>
  <c r="M464" i="1"/>
  <c r="P42" i="3" s="1"/>
  <c r="K510" i="1"/>
  <c r="P44" i="3"/>
  <c r="P39" i="3"/>
  <c r="K372" i="1"/>
  <c r="M418" i="1"/>
  <c r="P41" i="3" s="1"/>
  <c r="K464" i="1"/>
  <c r="M510" i="1"/>
  <c r="P43" i="3" s="1"/>
  <c r="C90" i="1"/>
  <c r="G90" i="1"/>
  <c r="K90" i="1"/>
  <c r="E136" i="1"/>
  <c r="G35" i="3" s="1"/>
  <c r="I136" i="1"/>
  <c r="M136" i="1"/>
  <c r="D90" i="1"/>
  <c r="H90" i="1"/>
  <c r="L90" i="1"/>
  <c r="B136" i="1"/>
  <c r="F136" i="1"/>
  <c r="J136" i="1"/>
  <c r="F231" i="1"/>
  <c r="D231" i="1"/>
  <c r="H231" i="1"/>
  <c r="J231" i="1"/>
  <c r="E39" i="3"/>
  <c r="I39" i="3"/>
  <c r="K39" i="3"/>
  <c r="D372" i="1"/>
  <c r="H372" i="1"/>
  <c r="L372" i="1"/>
  <c r="B418" i="1"/>
  <c r="E41" i="3" s="1"/>
  <c r="F418" i="1"/>
  <c r="I41" i="3" s="1"/>
  <c r="J418" i="1"/>
  <c r="K41" i="3" s="1"/>
  <c r="D464" i="1"/>
  <c r="H464" i="1"/>
  <c r="B464" i="1"/>
  <c r="E42" i="3" s="1"/>
  <c r="F464" i="1"/>
  <c r="I42" i="3" s="1"/>
  <c r="J464" i="1"/>
  <c r="K42" i="3" s="1"/>
  <c r="L464" i="1"/>
  <c r="B510" i="1"/>
  <c r="F510" i="1"/>
  <c r="I43" i="3" s="1"/>
  <c r="D510" i="1"/>
  <c r="H510" i="1"/>
  <c r="L510" i="1"/>
  <c r="J510" i="1"/>
  <c r="K43" i="3" s="1"/>
  <c r="N39" i="1"/>
  <c r="B18" i="1"/>
  <c r="B25" i="1"/>
  <c r="B32" i="1"/>
  <c r="B39" i="1"/>
  <c r="C11" i="1"/>
  <c r="O39" i="1"/>
  <c r="O32" i="1"/>
  <c r="N32" i="1"/>
  <c r="O25" i="1"/>
  <c r="N25" i="1"/>
  <c r="O18" i="1"/>
  <c r="N18" i="1"/>
  <c r="O11" i="1"/>
  <c r="N11" i="1"/>
  <c r="K37" i="3" l="1"/>
  <c r="S37" i="3"/>
  <c r="K10" i="3"/>
  <c r="I10" i="3"/>
  <c r="K36" i="3"/>
  <c r="I36" i="3"/>
  <c r="E36" i="3"/>
  <c r="E43" i="3"/>
  <c r="E40" i="3"/>
  <c r="S35" i="3"/>
  <c r="I35" i="3"/>
  <c r="V35" i="3"/>
  <c r="P35" i="3"/>
  <c r="V34" i="3"/>
  <c r="S34" i="3"/>
  <c r="I34" i="3"/>
  <c r="K34" i="3"/>
  <c r="P34" i="3"/>
  <c r="I37" i="3"/>
  <c r="M42" i="3"/>
  <c r="E34" i="3"/>
  <c r="M39" i="3"/>
  <c r="M40" i="3"/>
  <c r="M43" i="3"/>
  <c r="E37" i="3"/>
  <c r="N44" i="1"/>
  <c r="K35" i="3"/>
  <c r="M38" i="3"/>
  <c r="O44" i="1"/>
  <c r="M41" i="3"/>
  <c r="M37" i="3" l="1"/>
  <c r="M36" i="3"/>
  <c r="M35" i="3"/>
  <c r="M34" i="3"/>
  <c r="V33" i="3"/>
  <c r="V46" i="3" s="1"/>
  <c r="M14" i="3"/>
  <c r="S33" i="3"/>
  <c r="S46" i="3" l="1"/>
  <c r="A1" i="3" l="1"/>
  <c r="G23" i="3" l="1"/>
  <c r="C14" i="3" l="1"/>
  <c r="M39" i="1" l="1"/>
  <c r="M32" i="1"/>
  <c r="M25" i="1"/>
  <c r="M18" i="1"/>
  <c r="M11" i="1"/>
  <c r="M44" i="1" l="1"/>
  <c r="P33" i="3" l="1"/>
  <c r="B39" i="2"/>
  <c r="B32" i="2"/>
  <c r="B25" i="2"/>
  <c r="B18" i="2"/>
  <c r="B11" i="2"/>
  <c r="K39" i="1"/>
  <c r="J39" i="1"/>
  <c r="K32" i="1"/>
  <c r="J32" i="1"/>
  <c r="K25" i="1"/>
  <c r="J25" i="1"/>
  <c r="K18" i="1"/>
  <c r="J18" i="1"/>
  <c r="K11" i="1"/>
  <c r="J11" i="1"/>
  <c r="I39" i="1"/>
  <c r="H39" i="1"/>
  <c r="G39" i="1"/>
  <c r="F39" i="1"/>
  <c r="E39" i="1"/>
  <c r="D39" i="1"/>
  <c r="C39" i="1"/>
  <c r="I32" i="1"/>
  <c r="H32" i="1"/>
  <c r="G32" i="1"/>
  <c r="F32" i="1"/>
  <c r="E32" i="1"/>
  <c r="D32" i="1"/>
  <c r="C32" i="1"/>
  <c r="I25" i="1"/>
  <c r="H25" i="1"/>
  <c r="G25" i="1"/>
  <c r="F25" i="1"/>
  <c r="E25" i="1"/>
  <c r="D25" i="1"/>
  <c r="C25" i="1"/>
  <c r="I18" i="1"/>
  <c r="H18" i="1"/>
  <c r="G18" i="1"/>
  <c r="F18" i="1"/>
  <c r="E18" i="1"/>
  <c r="D18" i="1"/>
  <c r="C18" i="1"/>
  <c r="I11" i="1"/>
  <c r="H11" i="1"/>
  <c r="G11" i="1"/>
  <c r="F11" i="1"/>
  <c r="E11" i="1"/>
  <c r="D11" i="1"/>
  <c r="B11" i="1"/>
  <c r="L32" i="1" l="1"/>
  <c r="L18" i="1"/>
  <c r="J44" i="1"/>
  <c r="L11" i="1"/>
  <c r="K44" i="1"/>
  <c r="L25" i="1"/>
  <c r="L39" i="1"/>
  <c r="L44" i="1" l="1"/>
  <c r="P46" i="3" l="1"/>
  <c r="C39" i="2" l="1"/>
  <c r="C32" i="2"/>
  <c r="C25" i="2"/>
  <c r="C18" i="2"/>
  <c r="C11" i="2"/>
  <c r="C44" i="2" l="1"/>
  <c r="D39" i="2"/>
  <c r="D32" i="2"/>
  <c r="D25" i="2"/>
  <c r="D18" i="2"/>
  <c r="D11" i="2"/>
  <c r="D44" i="2" l="1"/>
  <c r="K14" i="3"/>
  <c r="I14" i="3" l="1"/>
  <c r="I26" i="3" s="1"/>
  <c r="M44" i="3" l="1"/>
  <c r="C23" i="3" l="1"/>
  <c r="E44" i="1" l="1"/>
  <c r="G33" i="3" s="1"/>
  <c r="G46" i="3" s="1"/>
  <c r="G44" i="1"/>
  <c r="C44" i="1"/>
  <c r="I44" i="1"/>
  <c r="K33" i="3" s="1"/>
  <c r="B44" i="1"/>
  <c r="F44" i="1"/>
  <c r="H44" i="1"/>
  <c r="D44" i="1"/>
  <c r="K46" i="3" l="1"/>
  <c r="E33" i="3"/>
  <c r="I33" i="3"/>
  <c r="B44" i="2"/>
  <c r="G14" i="3" s="1"/>
  <c r="G26" i="3" s="1"/>
  <c r="I46" i="3" l="1"/>
  <c r="E46" i="3"/>
  <c r="M33" i="3"/>
  <c r="M46" i="3" l="1"/>
</calcChain>
</file>

<file path=xl/comments1.xml><?xml version="1.0" encoding="utf-8"?>
<comments xmlns="http://schemas.openxmlformats.org/spreadsheetml/2006/main">
  <authors>
    <author>Abdullah, Zain</author>
  </authors>
  <commentList>
    <comment ref="M182" authorId="0">
      <text>
        <r>
          <rPr>
            <b/>
            <sz val="9"/>
            <color indexed="81"/>
            <rFont val="Tahoma"/>
            <family val="2"/>
          </rPr>
          <t>Abdullah, Zain:</t>
        </r>
        <r>
          <rPr>
            <sz val="9"/>
            <color indexed="81"/>
            <rFont val="Tahoma"/>
            <family val="2"/>
          </rPr>
          <t xml:space="preserve">
800k Loan from DNC</t>
        </r>
      </text>
    </comment>
    <comment ref="M228" authorId="0">
      <text>
        <r>
          <rPr>
            <b/>
            <sz val="9"/>
            <color indexed="81"/>
            <rFont val="Tahoma"/>
            <family val="2"/>
          </rPr>
          <t>Abdullah, Zain:</t>
        </r>
        <r>
          <rPr>
            <sz val="9"/>
            <color indexed="81"/>
            <rFont val="Tahoma"/>
            <family val="2"/>
          </rPr>
          <t xml:space="preserve">
Loan from DNC</t>
        </r>
      </text>
    </comment>
  </commentList>
</comments>
</file>

<file path=xl/comments2.xml><?xml version="1.0" encoding="utf-8"?>
<comments xmlns="http://schemas.openxmlformats.org/spreadsheetml/2006/main">
  <authors>
    <author>Abdullah, Zain</author>
    <author>Manisha Patel</author>
  </authors>
  <commentList>
    <comment ref="B134" authorId="0">
      <text>
        <r>
          <rPr>
            <b/>
            <sz val="9"/>
            <color indexed="81"/>
            <rFont val="Tahoma"/>
            <family val="2"/>
          </rPr>
          <t>Abdullah, Zain:</t>
        </r>
        <r>
          <rPr>
            <sz val="9"/>
            <color indexed="81"/>
            <rFont val="Tahoma"/>
            <family val="2"/>
          </rPr>
          <t xml:space="preserve">
Contribution refunds for March </t>
        </r>
      </text>
    </comment>
    <comment ref="C134" authorId="1">
      <text>
        <r>
          <rPr>
            <b/>
            <sz val="9"/>
            <color indexed="81"/>
            <rFont val="Tahoma"/>
            <family val="2"/>
          </rPr>
          <t>Manisha Patel:</t>
        </r>
        <r>
          <rPr>
            <sz val="9"/>
            <color indexed="81"/>
            <rFont val="Tahoma"/>
            <family val="2"/>
          </rPr>
          <t xml:space="preserve">
offset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Abdullah, Zain:</t>
        </r>
        <r>
          <rPr>
            <sz val="9"/>
            <color indexed="81"/>
            <rFont val="Tahoma"/>
            <family val="2"/>
          </rPr>
          <t xml:space="preserve">
Loan to DNCC'16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Abdullah, Zain:</t>
        </r>
        <r>
          <rPr>
            <sz val="9"/>
            <color indexed="81"/>
            <rFont val="Tahoma"/>
            <family val="2"/>
          </rPr>
          <t xml:space="preserve">
Contribution Refunds</t>
        </r>
      </text>
    </comment>
    <comment ref="C183" authorId="0">
      <text>
        <r>
          <rPr>
            <b/>
            <sz val="9"/>
            <color indexed="81"/>
            <rFont val="Tahoma"/>
            <family val="2"/>
          </rPr>
          <t>Abdullah, Zain:</t>
        </r>
        <r>
          <rPr>
            <sz val="9"/>
            <color indexed="81"/>
            <rFont val="Tahoma"/>
            <family val="2"/>
          </rPr>
          <t xml:space="preserve">
offset
</t>
        </r>
      </text>
    </comment>
    <comment ref="B228" authorId="0">
      <text>
        <r>
          <rPr>
            <b/>
            <sz val="9"/>
            <color indexed="81"/>
            <rFont val="Tahoma"/>
            <family val="2"/>
          </rPr>
          <t>Abdullah, Zain:</t>
        </r>
        <r>
          <rPr>
            <sz val="9"/>
            <color indexed="81"/>
            <rFont val="Tahoma"/>
            <family val="2"/>
          </rPr>
          <t xml:space="preserve">
Loan to DNCC</t>
        </r>
      </text>
    </comment>
  </commentList>
</comments>
</file>

<file path=xl/sharedStrings.xml><?xml version="1.0" encoding="utf-8"?>
<sst xmlns="http://schemas.openxmlformats.org/spreadsheetml/2006/main" count="518" uniqueCount="51">
  <si>
    <t>DNC</t>
  </si>
  <si>
    <t>Deposits</t>
  </si>
  <si>
    <t xml:space="preserve">DM </t>
  </si>
  <si>
    <t>DM Internet</t>
  </si>
  <si>
    <t>MD</t>
  </si>
  <si>
    <t>Other</t>
  </si>
  <si>
    <t>Total</t>
  </si>
  <si>
    <t>May</t>
  </si>
  <si>
    <t>WK Total</t>
  </si>
  <si>
    <t>Add</t>
  </si>
  <si>
    <t>Deduct</t>
  </si>
  <si>
    <t>Democratic National Committee</t>
  </si>
  <si>
    <t xml:space="preserve">          Financial Summary</t>
  </si>
  <si>
    <t>Cash Flow Summary:</t>
  </si>
  <si>
    <t>Deposits for Month</t>
  </si>
  <si>
    <t>Disbursments for Month</t>
  </si>
  <si>
    <t>Cash on Hand</t>
  </si>
  <si>
    <t>$</t>
  </si>
  <si>
    <t>Payables</t>
  </si>
  <si>
    <t>Net Surplus (Debt):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</si>
  <si>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</si>
  <si>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</si>
  <si>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</si>
  <si>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</si>
  <si>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</si>
  <si>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</si>
  <si>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</si>
  <si>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</si>
  <si>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</si>
  <si>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</si>
  <si>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</si>
  <si>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Major Donor</t>
  </si>
  <si>
    <t>Year to Date Totals</t>
  </si>
  <si>
    <t>Fundraising Deposit Summary:</t>
  </si>
  <si>
    <t>Debt Summary:</t>
  </si>
  <si>
    <t>.</t>
  </si>
  <si>
    <t>MD Internet</t>
  </si>
  <si>
    <t>Marketing</t>
  </si>
  <si>
    <t>T/MKTG.</t>
  </si>
  <si>
    <t>Bank Debt</t>
  </si>
  <si>
    <t>DNC Online</t>
  </si>
  <si>
    <t>DNC Store</t>
  </si>
  <si>
    <t>Store</t>
  </si>
  <si>
    <t>New Media</t>
  </si>
  <si>
    <t>Canvass/ Sustain</t>
  </si>
  <si>
    <t>WebofDems</t>
  </si>
  <si>
    <t>Convention</t>
  </si>
  <si>
    <t>DNC Federal</t>
  </si>
  <si>
    <t>Building</t>
  </si>
  <si>
    <t>Recount/Legal</t>
  </si>
  <si>
    <t>5/1/2016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</si>
</sst>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Times"/>
      <family val="1"/>
    </font>
    <font>
      <b/>
      <sz val="10"/>
      <name val="Times"/>
      <family val="1"/>
    </font>
    <font>
      <u/>
      <sz val="10"/>
      <name val="Times"/>
      <family val="1"/>
    </font>
    <font>
      <b/>
      <sz val="10"/>
      <name val="Arial"/>
      <family val="2"/>
    </font>
    <font>
      <b/>
      <u/>
      <sz val="10"/>
      <name val="Times"/>
      <family val="1"/>
    </font>
    <font>
      <b/>
      <sz val="12"/>
      <name val="Times"/>
      <family val="1"/>
    </font>
    <font>
      <sz val="12"/>
      <name val="Times"/>
      <family val="1"/>
    </font>
    <font>
      <b/>
      <u/>
      <sz val="12"/>
      <name val="Times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2"/>
      <color rgb="FFFF0000"/>
      <name val="Times"/>
      <family val="1"/>
    </font>
    <font>
      <sz val="12"/>
      <name val="Time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b/>
      <sz val="12"/>
      <name val="Times"/>
    </font>
  </fonts>
  <fills count="35">
    <fill>
      <patternFill patternType="none"/>
    </fill>
    <fill>
      <patternFill patternType="gray125"/>
    </fill>
    <fill>
      <patternFill patternType="gray0625">
        <bgColor indexed="61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11" fillId="0" borderId="0"/>
    <xf numFmtId="43" fontId="11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18" fillId="28" borderId="0" applyNumberFormat="0" applyBorder="0" applyAlignment="0" applyProtection="0"/>
    <xf numFmtId="0" fontId="22" fillId="29" borderId="3" applyNumberFormat="0" applyAlignment="0" applyProtection="0"/>
    <xf numFmtId="0" fontId="24" fillId="30" borderId="4" applyNumberFormat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31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20" fillId="32" borderId="3" applyNumberFormat="0" applyAlignment="0" applyProtection="0"/>
    <xf numFmtId="0" fontId="23" fillId="0" borderId="8" applyNumberFormat="0" applyFill="0" applyAlignment="0" applyProtection="0"/>
    <xf numFmtId="0" fontId="19" fillId="33" borderId="0" applyNumberFormat="0" applyBorder="0" applyAlignment="0" applyProtection="0"/>
    <xf numFmtId="0" fontId="11" fillId="0" borderId="0"/>
    <xf numFmtId="0" fontId="12" fillId="0" borderId="0"/>
    <xf numFmtId="0" fontId="12" fillId="34" borderId="9" applyNumberFormat="0" applyFont="0" applyAlignment="0" applyProtection="0"/>
    <xf numFmtId="0" fontId="13" fillId="34" borderId="9" applyNumberFormat="0" applyFont="0" applyAlignment="0" applyProtection="0"/>
    <xf numFmtId="0" fontId="13" fillId="34" borderId="9" applyNumberFormat="0" applyFont="0" applyAlignment="0" applyProtection="0"/>
    <xf numFmtId="0" fontId="21" fillId="29" borderId="10" applyNumberFormat="0" applyAlignment="0" applyProtection="0"/>
    <xf numFmtId="0" fontId="27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43" fontId="2" fillId="0" borderId="0" applyFont="0" applyFill="0" applyBorder="0" applyAlignment="0" applyProtection="0"/>
    <xf numFmtId="0" fontId="2" fillId="34" borderId="9" applyNumberFormat="0" applyFont="0" applyAlignment="0" applyProtection="0"/>
    <xf numFmtId="0" fontId="2" fillId="34" borderId="9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34" borderId="9" applyNumberFormat="0" applyFont="0" applyAlignment="0" applyProtection="0"/>
    <xf numFmtId="0" fontId="1" fillId="34" borderId="9" applyNumberFormat="0" applyFont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34" borderId="9" applyNumberFormat="0" applyFont="0" applyAlignment="0" applyProtection="0"/>
    <xf numFmtId="0" fontId="1" fillId="34" borderId="9" applyNumberFormat="0" applyFont="0" applyAlignment="0" applyProtection="0"/>
    <xf numFmtId="43" fontId="33" fillId="0" borderId="0" applyFont="0" applyFill="0" applyBorder="0" applyAlignment="0" applyProtection="0"/>
  </cellStyleXfs>
  <cellXfs count="49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" fontId="3" fillId="0" borderId="0" xfId="0" applyNumberFormat="1" applyFont="1"/>
    <xf numFmtId="3" fontId="5" fillId="0" borderId="0" xfId="0" applyNumberFormat="1" applyFont="1"/>
    <xf numFmtId="0" fontId="3" fillId="0" borderId="0" xfId="0" quotePrefix="1" applyNumberFormat="1" applyFont="1"/>
    <xf numFmtId="0" fontId="3" fillId="0" borderId="0" xfId="0" applyNumberFormat="1" applyFont="1"/>
    <xf numFmtId="0" fontId="5" fillId="0" borderId="0" xfId="0" applyFont="1"/>
    <xf numFmtId="3" fontId="7" fillId="0" borderId="0" xfId="0" applyNumberFormat="1" applyFont="1"/>
    <xf numFmtId="0" fontId="7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4" fontId="8" fillId="0" borderId="0" xfId="0" applyNumberFormat="1" applyFont="1"/>
    <xf numFmtId="0" fontId="9" fillId="0" borderId="0" xfId="0" applyFont="1"/>
    <xf numFmtId="0" fontId="8" fillId="0" borderId="0" xfId="0" applyFont="1"/>
    <xf numFmtId="3" fontId="8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0" fontId="10" fillId="0" borderId="0" xfId="0" applyFont="1"/>
    <xf numFmtId="3" fontId="8" fillId="0" borderId="0" xfId="0" applyNumberFormat="1" applyFont="1" applyAlignment="1">
      <alignment horizontal="right"/>
    </xf>
    <xf numFmtId="3" fontId="9" fillId="0" borderId="1" xfId="0" applyNumberFormat="1" applyFont="1" applyBorder="1"/>
    <xf numFmtId="3" fontId="8" fillId="0" borderId="2" xfId="0" applyNumberFormat="1" applyFont="1" applyBorder="1"/>
    <xf numFmtId="14" fontId="8" fillId="0" borderId="0" xfId="0" applyNumberFormat="1" applyFont="1" applyAlignment="1">
      <alignment horizontal="left"/>
    </xf>
    <xf numFmtId="0" fontId="0" fillId="2" borderId="0" xfId="0" applyFill="1"/>
    <xf numFmtId="4" fontId="0" fillId="0" borderId="0" xfId="0" applyNumberFormat="1"/>
    <xf numFmtId="0" fontId="0" fillId="3" borderId="0" xfId="0" applyFill="1"/>
    <xf numFmtId="3" fontId="8" fillId="0" borderId="0" xfId="0" applyNumberFormat="1" applyFont="1" applyBorder="1"/>
    <xf numFmtId="14" fontId="8" fillId="0" borderId="0" xfId="0" quotePrefix="1" applyNumberFormat="1" applyFont="1"/>
    <xf numFmtId="4" fontId="3" fillId="0" borderId="0" xfId="0" applyNumberFormat="1" applyFont="1"/>
    <xf numFmtId="0" fontId="6" fillId="0" borderId="0" xfId="0" applyFont="1"/>
    <xf numFmtId="14" fontId="8" fillId="0" borderId="0" xfId="0" quotePrefix="1" applyNumberFormat="1" applyFont="1" applyAlignment="1">
      <alignment horizontal="left"/>
    </xf>
    <xf numFmtId="0" fontId="9" fillId="0" borderId="0" xfId="0" applyFont="1" applyFill="1"/>
    <xf numFmtId="3" fontId="9" fillId="0" borderId="0" xfId="0" applyNumberFormat="1" applyFont="1" applyFill="1"/>
    <xf numFmtId="3" fontId="9" fillId="0" borderId="0" xfId="0" applyNumberFormat="1" applyFont="1" applyFill="1" applyAlignment="1">
      <alignment horizontal="right"/>
    </xf>
    <xf numFmtId="3" fontId="10" fillId="0" borderId="0" xfId="0" applyNumberFormat="1" applyFont="1" applyFill="1" applyAlignment="1">
      <alignment horizontal="center"/>
    </xf>
    <xf numFmtId="0" fontId="11" fillId="0" borderId="0" xfId="0" applyFont="1"/>
    <xf numFmtId="3" fontId="8" fillId="0" borderId="0" xfId="0" applyNumberFormat="1" applyFont="1" applyAlignment="1">
      <alignment horizontal="center"/>
    </xf>
    <xf numFmtId="3" fontId="29" fillId="0" borderId="0" xfId="0" applyNumberFormat="1" applyFont="1"/>
    <xf numFmtId="3" fontId="9" fillId="0" borderId="0" xfId="0" applyNumberFormat="1" applyFont="1"/>
    <xf numFmtId="0" fontId="30" fillId="0" borderId="0" xfId="0" applyFont="1"/>
    <xf numFmtId="3" fontId="30" fillId="0" borderId="0" xfId="0" applyNumberFormat="1" applyFont="1" applyAlignment="1">
      <alignment horizontal="right"/>
    </xf>
    <xf numFmtId="3" fontId="30" fillId="0" borderId="0" xfId="0" applyNumberFormat="1" applyFont="1"/>
    <xf numFmtId="4" fontId="11" fillId="0" borderId="0" xfId="0" applyNumberFormat="1" applyFont="1"/>
    <xf numFmtId="164" fontId="3" fillId="0" borderId="0" xfId="142" applyNumberFormat="1" applyFont="1"/>
    <xf numFmtId="164" fontId="34" fillId="0" borderId="0" xfId="142" applyNumberFormat="1" applyFont="1"/>
    <xf numFmtId="43" fontId="34" fillId="0" borderId="1" xfId="142" applyFont="1" applyBorder="1"/>
    <xf numFmtId="43" fontId="3" fillId="0" borderId="0" xfId="142" applyFont="1"/>
    <xf numFmtId="0" fontId="35" fillId="0" borderId="0" xfId="0" applyFont="1"/>
  </cellXfs>
  <cellStyles count="143">
    <cellStyle name="20% - Accent1 2" xfId="3"/>
    <cellStyle name="20% - Accent1 2 2" xfId="61"/>
    <cellStyle name="20% - Accent1 2 2 2" xfId="115"/>
    <cellStyle name="20% - Accent1 2 3" xfId="88"/>
    <cellStyle name="20% - Accent1 3" xfId="4"/>
    <cellStyle name="20% - Accent1 3 2" xfId="62"/>
    <cellStyle name="20% - Accent1 3 2 2" xfId="116"/>
    <cellStyle name="20% - Accent1 3 3" xfId="89"/>
    <cellStyle name="20% - Accent2 2" xfId="5"/>
    <cellStyle name="20% - Accent2 2 2" xfId="63"/>
    <cellStyle name="20% - Accent2 2 2 2" xfId="117"/>
    <cellStyle name="20% - Accent2 2 3" xfId="90"/>
    <cellStyle name="20% - Accent2 3" xfId="6"/>
    <cellStyle name="20% - Accent2 3 2" xfId="64"/>
    <cellStyle name="20% - Accent2 3 2 2" xfId="118"/>
    <cellStyle name="20% - Accent2 3 3" xfId="91"/>
    <cellStyle name="20% - Accent3 2" xfId="7"/>
    <cellStyle name="20% - Accent3 2 2" xfId="65"/>
    <cellStyle name="20% - Accent3 2 2 2" xfId="119"/>
    <cellStyle name="20% - Accent3 2 3" xfId="92"/>
    <cellStyle name="20% - Accent3 3" xfId="8"/>
    <cellStyle name="20% - Accent3 3 2" xfId="66"/>
    <cellStyle name="20% - Accent3 3 2 2" xfId="120"/>
    <cellStyle name="20% - Accent3 3 3" xfId="93"/>
    <cellStyle name="20% - Accent4 2" xfId="9"/>
    <cellStyle name="20% - Accent4 2 2" xfId="67"/>
    <cellStyle name="20% - Accent4 2 2 2" xfId="121"/>
    <cellStyle name="20% - Accent4 2 3" xfId="94"/>
    <cellStyle name="20% - Accent4 3" xfId="10"/>
    <cellStyle name="20% - Accent4 3 2" xfId="68"/>
    <cellStyle name="20% - Accent4 3 2 2" xfId="122"/>
    <cellStyle name="20% - Accent4 3 3" xfId="95"/>
    <cellStyle name="20% - Accent5 2" xfId="11"/>
    <cellStyle name="20% - Accent5 2 2" xfId="69"/>
    <cellStyle name="20% - Accent5 2 2 2" xfId="123"/>
    <cellStyle name="20% - Accent5 2 3" xfId="96"/>
    <cellStyle name="20% - Accent5 3" xfId="12"/>
    <cellStyle name="20% - Accent5 3 2" xfId="70"/>
    <cellStyle name="20% - Accent5 3 2 2" xfId="124"/>
    <cellStyle name="20% - Accent5 3 3" xfId="97"/>
    <cellStyle name="20% - Accent6 2" xfId="13"/>
    <cellStyle name="20% - Accent6 2 2" xfId="71"/>
    <cellStyle name="20% - Accent6 2 2 2" xfId="125"/>
    <cellStyle name="20% - Accent6 2 3" xfId="98"/>
    <cellStyle name="20% - Accent6 3" xfId="14"/>
    <cellStyle name="20% - Accent6 3 2" xfId="72"/>
    <cellStyle name="20% - Accent6 3 2 2" xfId="126"/>
    <cellStyle name="20% - Accent6 3 3" xfId="99"/>
    <cellStyle name="40% - Accent1 2" xfId="15"/>
    <cellStyle name="40% - Accent1 2 2" xfId="73"/>
    <cellStyle name="40% - Accent1 2 2 2" xfId="127"/>
    <cellStyle name="40% - Accent1 2 3" xfId="100"/>
    <cellStyle name="40% - Accent1 3" xfId="16"/>
    <cellStyle name="40% - Accent1 3 2" xfId="74"/>
    <cellStyle name="40% - Accent1 3 2 2" xfId="128"/>
    <cellStyle name="40% - Accent1 3 3" xfId="101"/>
    <cellStyle name="40% - Accent2 2" xfId="17"/>
    <cellStyle name="40% - Accent2 2 2" xfId="75"/>
    <cellStyle name="40% - Accent2 2 2 2" xfId="129"/>
    <cellStyle name="40% - Accent2 2 3" xfId="102"/>
    <cellStyle name="40% - Accent2 3" xfId="18"/>
    <cellStyle name="40% - Accent2 3 2" xfId="76"/>
    <cellStyle name="40% - Accent2 3 2 2" xfId="130"/>
    <cellStyle name="40% - Accent2 3 3" xfId="103"/>
    <cellStyle name="40% - Accent3 2" xfId="19"/>
    <cellStyle name="40% - Accent3 2 2" xfId="77"/>
    <cellStyle name="40% - Accent3 2 2 2" xfId="131"/>
    <cellStyle name="40% - Accent3 2 3" xfId="104"/>
    <cellStyle name="40% - Accent3 3" xfId="20"/>
    <cellStyle name="40% - Accent3 3 2" xfId="78"/>
    <cellStyle name="40% - Accent3 3 2 2" xfId="132"/>
    <cellStyle name="40% - Accent3 3 3" xfId="105"/>
    <cellStyle name="40% - Accent4 2" xfId="21"/>
    <cellStyle name="40% - Accent4 2 2" xfId="79"/>
    <cellStyle name="40% - Accent4 2 2 2" xfId="133"/>
    <cellStyle name="40% - Accent4 2 3" xfId="106"/>
    <cellStyle name="40% - Accent4 3" xfId="22"/>
    <cellStyle name="40% - Accent4 3 2" xfId="80"/>
    <cellStyle name="40% - Accent4 3 2 2" xfId="134"/>
    <cellStyle name="40% - Accent4 3 3" xfId="107"/>
    <cellStyle name="40% - Accent5 2" xfId="23"/>
    <cellStyle name="40% - Accent5 2 2" xfId="81"/>
    <cellStyle name="40% - Accent5 2 2 2" xfId="135"/>
    <cellStyle name="40% - Accent5 2 3" xfId="108"/>
    <cellStyle name="40% - Accent5 3" xfId="24"/>
    <cellStyle name="40% - Accent5 3 2" xfId="82"/>
    <cellStyle name="40% - Accent5 3 2 2" xfId="136"/>
    <cellStyle name="40% - Accent5 3 3" xfId="109"/>
    <cellStyle name="40% - Accent6 2" xfId="25"/>
    <cellStyle name="40% - Accent6 2 2" xfId="83"/>
    <cellStyle name="40% - Accent6 2 2 2" xfId="137"/>
    <cellStyle name="40% - Accent6 2 3" xfId="110"/>
    <cellStyle name="40% - Accent6 3" xfId="26"/>
    <cellStyle name="40% - Accent6 3 2" xfId="84"/>
    <cellStyle name="40% - Accent6 3 2 2" xfId="138"/>
    <cellStyle name="40% - Accent6 3 3" xfId="111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Calculation 2" xfId="40"/>
    <cellStyle name="Check Cell 2" xfId="41"/>
    <cellStyle name="Comma" xfId="142" builtinId="3"/>
    <cellStyle name="Comma 2" xfId="42"/>
    <cellStyle name="Comma 3" xfId="43"/>
    <cellStyle name="Comma 3 2" xfId="85"/>
    <cellStyle name="Comma 3 2 2" xfId="139"/>
    <cellStyle name="Comma 3 3" xfId="112"/>
    <cellStyle name="Comma 4" xfId="2"/>
    <cellStyle name="Explanatory Text 2" xfId="44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Linked Cell 2" xfId="51"/>
    <cellStyle name="Neutral 2" xfId="52"/>
    <cellStyle name="Normal" xfId="0" builtinId="0"/>
    <cellStyle name="Normal 2" xfId="53"/>
    <cellStyle name="Normal 3" xfId="54"/>
    <cellStyle name="Normal 4" xfId="1"/>
    <cellStyle name="Note 2" xfId="55"/>
    <cellStyle name="Note 2 2" xfId="56"/>
    <cellStyle name="Note 2 2 2" xfId="86"/>
    <cellStyle name="Note 2 2 2 2" xfId="140"/>
    <cellStyle name="Note 2 2 3" xfId="113"/>
    <cellStyle name="Note 3" xfId="57"/>
    <cellStyle name="Note 3 2" xfId="87"/>
    <cellStyle name="Note 3 2 2" xfId="141"/>
    <cellStyle name="Note 3 3" xfId="114"/>
    <cellStyle name="Output 2" xfId="58"/>
    <cellStyle name="Total 2" xfId="59"/>
    <cellStyle name="Warning Text 2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7"/>
  <sheetViews>
    <sheetView workbookViewId="0">
      <selection activeCell="W26" sqref="W26"/>
    </sheetView>
  </sheetViews>
  <sheetFormatPr defaultRowHeight="12.75" x14ac:dyDescent="0.2"/>
  <cols>
    <col min="1" max="1" width="11.140625" style="2" customWidth="1"/>
    <col min="2" max="2" width="5.28515625" style="2" customWidth="1"/>
    <col min="3" max="3" width="12.85546875" style="2" customWidth="1"/>
    <col min="4" max="4" width="2.5703125" style="2" customWidth="1"/>
    <col min="5" max="5" width="14.28515625" style="5" customWidth="1"/>
    <col min="6" max="6" width="2.5703125" style="5" customWidth="1"/>
    <col min="7" max="7" width="12" style="5" customWidth="1"/>
    <col min="8" max="8" width="2.5703125" style="5" customWidth="1"/>
    <col min="9" max="9" width="15.140625" style="5" customWidth="1"/>
    <col min="10" max="10" width="2.5703125" style="12" customWidth="1"/>
    <col min="11" max="11" width="14.140625" style="5" customWidth="1"/>
    <col min="12" max="12" width="2.5703125" style="5" customWidth="1"/>
    <col min="13" max="13" width="14.7109375" style="5" customWidth="1"/>
    <col min="14" max="15" width="2.5703125" style="5" customWidth="1"/>
    <col min="16" max="16" width="14.7109375" style="5" customWidth="1"/>
    <col min="17" max="17" width="2.5703125" style="5" customWidth="1"/>
    <col min="18" max="18" width="2.5703125" customWidth="1"/>
    <col min="19" max="19" width="14.7109375" customWidth="1"/>
    <col min="20" max="20" width="2.28515625" customWidth="1"/>
    <col min="21" max="21" width="2.7109375" customWidth="1"/>
    <col min="22" max="22" width="14.7109375" customWidth="1"/>
  </cols>
  <sheetData>
    <row r="1" spans="1:18" ht="15.75" x14ac:dyDescent="0.25">
      <c r="A1" s="28">
        <f ca="1">NOW()-1</f>
        <v>42509.485789930557</v>
      </c>
      <c r="B1" s="14"/>
      <c r="C1" s="14"/>
      <c r="D1" s="15" t="s">
        <v>11</v>
      </c>
      <c r="E1" s="16"/>
      <c r="F1" s="16"/>
      <c r="G1" s="16"/>
      <c r="H1" s="16"/>
      <c r="I1" s="17"/>
      <c r="J1" s="18"/>
      <c r="K1" s="17"/>
      <c r="L1" s="17"/>
      <c r="M1" s="17"/>
      <c r="N1" s="17"/>
      <c r="O1" s="17"/>
      <c r="P1" s="17"/>
      <c r="Q1" s="17"/>
      <c r="R1" s="14"/>
    </row>
    <row r="2" spans="1:18" ht="15.75" x14ac:dyDescent="0.25">
      <c r="A2" s="14"/>
      <c r="B2" s="14"/>
      <c r="C2" s="14"/>
      <c r="D2" s="15" t="s">
        <v>12</v>
      </c>
      <c r="E2" s="16"/>
      <c r="F2" s="16"/>
      <c r="G2" s="16"/>
      <c r="H2" s="16"/>
      <c r="I2" s="17"/>
      <c r="J2" s="18"/>
      <c r="K2" s="17"/>
      <c r="L2" s="17"/>
      <c r="M2" s="17"/>
      <c r="N2" s="17"/>
      <c r="O2" s="17"/>
      <c r="P2" s="17"/>
      <c r="Q2" s="17"/>
      <c r="R2" s="14"/>
    </row>
    <row r="3" spans="1:18" ht="15.75" x14ac:dyDescent="0.25">
      <c r="A3" s="14"/>
      <c r="B3" s="14"/>
      <c r="C3" s="14"/>
      <c r="D3" s="14"/>
      <c r="E3" s="17"/>
      <c r="F3" s="17"/>
      <c r="G3" s="17"/>
      <c r="H3" s="17"/>
      <c r="I3" s="17"/>
      <c r="J3" s="18"/>
      <c r="K3" s="17"/>
      <c r="L3" s="17"/>
      <c r="M3" s="17"/>
      <c r="N3" s="17"/>
      <c r="O3" s="17"/>
      <c r="P3" s="17"/>
      <c r="Q3" s="17"/>
      <c r="R3" s="14"/>
    </row>
    <row r="4" spans="1:18" ht="15.75" x14ac:dyDescent="0.25">
      <c r="A4" s="14"/>
      <c r="B4" s="14"/>
      <c r="C4" s="14"/>
      <c r="D4" s="14"/>
      <c r="E4" s="17"/>
      <c r="F4" s="17"/>
      <c r="G4" s="17"/>
      <c r="H4" s="17"/>
      <c r="I4" s="17"/>
      <c r="J4" s="18"/>
      <c r="K4" s="17"/>
      <c r="L4" s="17"/>
      <c r="M4" s="17"/>
      <c r="N4" s="17"/>
      <c r="O4" s="17"/>
      <c r="P4" s="17"/>
      <c r="Q4" s="17"/>
      <c r="R4" s="14"/>
    </row>
    <row r="5" spans="1:18" ht="15.75" x14ac:dyDescent="0.25">
      <c r="A5" s="14"/>
      <c r="B5" s="14"/>
      <c r="C5" s="14"/>
      <c r="D5" s="14"/>
      <c r="E5" s="17"/>
      <c r="F5" s="17"/>
      <c r="G5" s="17"/>
      <c r="H5" s="17"/>
      <c r="I5" s="17"/>
      <c r="J5" s="18"/>
      <c r="K5" s="17"/>
      <c r="L5" s="17"/>
      <c r="M5" s="17"/>
      <c r="N5" s="17"/>
      <c r="O5" s="17"/>
      <c r="P5" s="17"/>
      <c r="Q5" s="17"/>
      <c r="R5" s="14"/>
    </row>
    <row r="6" spans="1:18" ht="15.75" x14ac:dyDescent="0.25">
      <c r="A6" s="19" t="s">
        <v>13</v>
      </c>
      <c r="B6" s="14"/>
      <c r="C6" s="14"/>
      <c r="D6" s="14"/>
      <c r="E6" s="17"/>
      <c r="F6" s="17"/>
      <c r="G6" s="37" t="s">
        <v>0</v>
      </c>
      <c r="I6" s="37" t="s">
        <v>46</v>
      </c>
      <c r="J6" s="18"/>
      <c r="K6" s="37" t="s">
        <v>48</v>
      </c>
      <c r="L6" s="17"/>
      <c r="M6" s="37" t="s">
        <v>49</v>
      </c>
      <c r="N6" s="17"/>
      <c r="O6" s="17"/>
      <c r="P6" s="17"/>
      <c r="Q6" s="17"/>
      <c r="R6" s="14"/>
    </row>
    <row r="7" spans="1:18" ht="15.75" x14ac:dyDescent="0.25">
      <c r="A7" s="14"/>
      <c r="B7" s="14"/>
      <c r="C7" s="14"/>
      <c r="D7" s="14"/>
      <c r="E7" s="17"/>
      <c r="F7" s="17"/>
      <c r="G7" s="17"/>
      <c r="H7" s="37"/>
      <c r="I7" s="39"/>
      <c r="J7" s="18"/>
      <c r="K7" s="39"/>
      <c r="L7" s="17"/>
      <c r="M7" s="39"/>
      <c r="N7" s="17"/>
      <c r="O7" s="17"/>
      <c r="P7" s="17"/>
      <c r="Q7" s="17"/>
      <c r="R7" s="14"/>
    </row>
    <row r="8" spans="1:18" ht="15.75" x14ac:dyDescent="0.25">
      <c r="A8" s="15" t="s">
        <v>16</v>
      </c>
      <c r="B8" s="15"/>
      <c r="C8" s="31" t="s">
        <v>50</v>
      </c>
      <c r="D8" s="14"/>
      <c r="E8" s="17"/>
      <c r="F8" s="18" t="s">
        <v>17</v>
      </c>
      <c r="G8" s="17">
        <v>4938399.28</v>
      </c>
      <c r="H8" s="37"/>
      <c r="I8" s="39">
        <v>107493.58</v>
      </c>
      <c r="J8"/>
      <c r="K8" s="39">
        <v>567368.42000000004</v>
      </c>
      <c r="L8" s="17"/>
      <c r="M8" s="39">
        <v>276589.11</v>
      </c>
      <c r="N8" s="17"/>
      <c r="O8" s="17"/>
      <c r="P8" s="17"/>
      <c r="Q8" s="17"/>
      <c r="R8" s="14"/>
    </row>
    <row r="9" spans="1:18" ht="15.75" x14ac:dyDescent="0.25">
      <c r="A9" s="14"/>
      <c r="B9" s="14"/>
      <c r="C9" s="14"/>
      <c r="D9" s="14"/>
      <c r="E9" s="17"/>
      <c r="F9" s="18"/>
      <c r="G9" s="17"/>
      <c r="H9" s="37"/>
      <c r="I9" s="39"/>
      <c r="J9"/>
      <c r="K9" s="39"/>
      <c r="L9" s="17"/>
      <c r="M9" s="39"/>
      <c r="N9" s="17"/>
      <c r="O9" s="17"/>
      <c r="P9" s="17"/>
      <c r="Q9" s="17"/>
      <c r="R9" s="14"/>
    </row>
    <row r="10" spans="1:18" ht="15.75" x14ac:dyDescent="0.25">
      <c r="A10" s="14" t="s">
        <v>14</v>
      </c>
      <c r="B10" s="14"/>
      <c r="C10" s="14"/>
      <c r="D10" s="14"/>
      <c r="E10" s="17"/>
      <c r="F10" s="18"/>
      <c r="G10" s="17">
        <f>Deposits!L231</f>
        <v>6376016.0399999991</v>
      </c>
      <c r="H10" s="37"/>
      <c r="I10" s="39">
        <f>Deposits!M231</f>
        <v>958412.44</v>
      </c>
      <c r="J10"/>
      <c r="K10" s="39">
        <f>Deposits!N231</f>
        <v>86800</v>
      </c>
      <c r="L10" s="17"/>
      <c r="M10" s="39">
        <f>Deposits!O231</f>
        <v>0</v>
      </c>
      <c r="N10" s="17"/>
      <c r="O10" s="17"/>
      <c r="P10" s="17"/>
      <c r="Q10" s="17"/>
      <c r="R10" s="14"/>
    </row>
    <row r="11" spans="1:18" ht="15.75" x14ac:dyDescent="0.25">
      <c r="A11" s="14"/>
      <c r="B11" s="14"/>
      <c r="C11" s="14"/>
      <c r="D11" s="14"/>
      <c r="E11" s="17"/>
      <c r="F11" s="18"/>
      <c r="G11" s="17" t="s">
        <v>35</v>
      </c>
      <c r="H11" s="37"/>
      <c r="I11" s="39" t="s">
        <v>35</v>
      </c>
      <c r="J11"/>
      <c r="K11" s="39" t="s">
        <v>35</v>
      </c>
      <c r="L11" s="17"/>
      <c r="M11" s="39" t="s">
        <v>35</v>
      </c>
      <c r="N11" s="17"/>
      <c r="O11" s="17"/>
      <c r="P11" s="17"/>
      <c r="Q11" s="17"/>
      <c r="R11" s="14"/>
    </row>
    <row r="12" spans="1:18" ht="15.75" x14ac:dyDescent="0.25">
      <c r="A12" s="14" t="s">
        <v>15</v>
      </c>
      <c r="B12" s="14"/>
      <c r="C12" s="14"/>
      <c r="D12" s="14"/>
      <c r="E12" s="17"/>
      <c r="F12" s="18"/>
      <c r="G12" s="21">
        <f>Disb!B231</f>
        <v>6111569.6399999997</v>
      </c>
      <c r="H12" s="37"/>
      <c r="I12" s="21">
        <f>Disb!C231</f>
        <v>525180.67000000004</v>
      </c>
      <c r="J12"/>
      <c r="K12" s="21">
        <f>Disb!D231:D231</f>
        <v>28832.82</v>
      </c>
      <c r="L12" s="17"/>
      <c r="M12" s="21">
        <f>Disb!E231</f>
        <v>0</v>
      </c>
      <c r="N12" s="17"/>
      <c r="O12" s="17"/>
      <c r="P12" s="17"/>
      <c r="Q12" s="17"/>
      <c r="R12" s="14"/>
    </row>
    <row r="13" spans="1:18" ht="15.75" x14ac:dyDescent="0.25">
      <c r="A13" s="14"/>
      <c r="B13" s="14"/>
      <c r="C13" s="14"/>
      <c r="D13" s="14"/>
      <c r="E13" s="17"/>
      <c r="F13" s="18"/>
      <c r="G13" s="17"/>
      <c r="H13" s="37"/>
      <c r="I13" s="39"/>
      <c r="J13"/>
      <c r="K13" s="39"/>
      <c r="L13" s="17"/>
      <c r="M13" s="39"/>
      <c r="N13" s="17"/>
      <c r="O13" s="17"/>
      <c r="P13" s="17"/>
      <c r="Q13" s="17"/>
      <c r="R13" s="14"/>
    </row>
    <row r="14" spans="1:18" ht="16.5" thickBot="1" x14ac:dyDescent="0.3">
      <c r="A14" s="15" t="s">
        <v>16</v>
      </c>
      <c r="B14" s="14"/>
      <c r="C14" s="23">
        <f ca="1">+A1</f>
        <v>42509.485789930557</v>
      </c>
      <c r="D14" s="14"/>
      <c r="E14" s="17"/>
      <c r="F14" s="20" t="s">
        <v>17</v>
      </c>
      <c r="G14" s="22">
        <f>+G8+G10-G12</f>
        <v>5202845.6800000006</v>
      </c>
      <c r="H14" s="37"/>
      <c r="I14" s="22">
        <f>+I8+I10-I12</f>
        <v>540725.35</v>
      </c>
      <c r="J14"/>
      <c r="K14" s="22">
        <f>+K8+K10-K12</f>
        <v>625335.60000000009</v>
      </c>
      <c r="L14" s="17"/>
      <c r="M14" s="22">
        <f>+M8+M10-M12</f>
        <v>276589.11</v>
      </c>
      <c r="N14" s="17"/>
      <c r="O14" s="17"/>
      <c r="P14" s="17"/>
      <c r="Q14" s="17"/>
      <c r="R14" s="14"/>
    </row>
    <row r="15" spans="1:18" ht="16.5" thickTop="1" x14ac:dyDescent="0.25">
      <c r="A15" s="14"/>
      <c r="B15" s="14"/>
      <c r="C15" s="14"/>
      <c r="D15" s="14"/>
      <c r="E15" s="17"/>
      <c r="F15" s="18"/>
      <c r="G15" s="17"/>
      <c r="H15" s="17"/>
      <c r="I15" s="1"/>
      <c r="J15"/>
      <c r="K15"/>
      <c r="L15" s="17"/>
      <c r="M15" s="17"/>
      <c r="N15" s="17"/>
      <c r="O15" s="17"/>
      <c r="P15" s="17"/>
      <c r="Q15" s="17"/>
      <c r="R15" s="14"/>
    </row>
    <row r="16" spans="1:18" ht="15.75" x14ac:dyDescent="0.25">
      <c r="A16" s="14"/>
      <c r="B16" s="14"/>
      <c r="C16" s="14"/>
      <c r="D16" s="14"/>
      <c r="E16" s="17"/>
      <c r="F16" s="18"/>
      <c r="G16" s="17"/>
      <c r="H16" s="17"/>
      <c r="I16"/>
      <c r="J16"/>
      <c r="K16"/>
      <c r="L16" s="17"/>
      <c r="M16" s="17"/>
      <c r="N16" s="17"/>
      <c r="O16" s="17"/>
      <c r="P16" s="17"/>
      <c r="Q16" s="17"/>
      <c r="R16" s="14"/>
    </row>
    <row r="17" spans="1:22" ht="15.75" x14ac:dyDescent="0.25">
      <c r="A17" s="14"/>
      <c r="B17" s="14"/>
      <c r="C17" s="14"/>
      <c r="D17" s="14"/>
      <c r="E17" s="17"/>
      <c r="F17" s="18"/>
      <c r="G17" s="17"/>
      <c r="H17" s="17"/>
      <c r="I17"/>
      <c r="J17"/>
      <c r="K17"/>
      <c r="L17" s="17"/>
      <c r="M17" s="17"/>
      <c r="N17" s="17"/>
      <c r="O17" s="17"/>
      <c r="P17" s="17"/>
      <c r="Q17" s="17"/>
      <c r="R17" s="14"/>
    </row>
    <row r="18" spans="1:22" ht="15.75" x14ac:dyDescent="0.25">
      <c r="A18" s="15" t="s">
        <v>34</v>
      </c>
      <c r="B18" s="15"/>
      <c r="C18" s="13"/>
      <c r="D18" s="14"/>
      <c r="E18" s="17"/>
      <c r="F18" s="18"/>
      <c r="G18" s="17"/>
      <c r="H18" s="17"/>
      <c r="I18"/>
      <c r="J18"/>
      <c r="K18"/>
      <c r="L18" s="17"/>
      <c r="M18" s="17"/>
      <c r="N18" s="17"/>
      <c r="O18" s="17"/>
      <c r="P18" s="17"/>
      <c r="Q18" s="17"/>
      <c r="R18" s="14"/>
    </row>
    <row r="19" spans="1:22" ht="15.75" x14ac:dyDescent="0.25">
      <c r="A19" s="14"/>
      <c r="B19" s="14"/>
      <c r="C19" s="14"/>
      <c r="D19" s="14"/>
      <c r="E19" s="17"/>
      <c r="F19" s="18"/>
      <c r="G19" s="17"/>
      <c r="H19" s="17"/>
      <c r="I19"/>
      <c r="J19"/>
      <c r="K19"/>
      <c r="L19" s="17"/>
      <c r="M19" s="17"/>
      <c r="N19" s="17"/>
      <c r="O19" s="17"/>
      <c r="P19" s="17"/>
      <c r="Q19" s="17"/>
      <c r="R19" s="14"/>
    </row>
    <row r="20" spans="1:22" ht="15.75" x14ac:dyDescent="0.25">
      <c r="A20" s="14" t="s">
        <v>18</v>
      </c>
      <c r="B20" s="14"/>
      <c r="C20" s="14"/>
      <c r="D20" s="14"/>
      <c r="E20" s="17"/>
      <c r="F20" s="18" t="s">
        <v>17</v>
      </c>
      <c r="G20" s="33">
        <f>5858009.39</f>
        <v>5858009.3899999997</v>
      </c>
      <c r="H20" s="38"/>
      <c r="I20" s="45">
        <f>500000+265842.49+300000+500000+53261.13+28463.5</f>
        <v>1647567.1199999999</v>
      </c>
      <c r="J20"/>
      <c r="K20"/>
      <c r="L20" s="17"/>
      <c r="M20" s="17"/>
      <c r="N20" s="17"/>
      <c r="O20" s="17"/>
      <c r="P20" s="17"/>
      <c r="Q20" s="17"/>
      <c r="R20" s="14"/>
    </row>
    <row r="21" spans="1:22" ht="15.75" x14ac:dyDescent="0.25">
      <c r="A21" s="14" t="s">
        <v>39</v>
      </c>
      <c r="B21" s="14"/>
      <c r="C21" s="14"/>
      <c r="D21" s="14"/>
      <c r="E21" s="17"/>
      <c r="F21" s="18"/>
      <c r="G21" s="21">
        <v>2000000</v>
      </c>
      <c r="H21" s="17"/>
      <c r="I21" s="46">
        <v>0</v>
      </c>
      <c r="J21"/>
      <c r="K21"/>
      <c r="L21" s="17"/>
      <c r="M21" s="17"/>
      <c r="N21" s="17"/>
      <c r="O21" s="17"/>
      <c r="P21" s="17"/>
      <c r="Q21" s="17"/>
      <c r="R21" s="14"/>
    </row>
    <row r="22" spans="1:22" ht="15.75" x14ac:dyDescent="0.25">
      <c r="A22" s="14"/>
      <c r="B22" s="14"/>
      <c r="C22" s="14"/>
      <c r="D22" s="14"/>
      <c r="E22" s="17"/>
      <c r="F22" s="18"/>
      <c r="G22" s="17"/>
      <c r="H22" s="17"/>
      <c r="I22"/>
      <c r="J22"/>
      <c r="K22"/>
      <c r="L22" s="17"/>
      <c r="M22" s="17"/>
      <c r="N22" s="17"/>
      <c r="O22" s="17"/>
      <c r="P22" s="17"/>
      <c r="Q22" s="17"/>
      <c r="R22" s="14"/>
    </row>
    <row r="23" spans="1:22" ht="16.5" thickBot="1" x14ac:dyDescent="0.3">
      <c r="A23" s="15" t="s">
        <v>6</v>
      </c>
      <c r="B23" s="13"/>
      <c r="C23" s="23">
        <f ca="1">+C14</f>
        <v>42509.485789930557</v>
      </c>
      <c r="D23" s="14"/>
      <c r="E23" s="17"/>
      <c r="F23" s="20" t="s">
        <v>17</v>
      </c>
      <c r="G23" s="22">
        <f>+G20+G21</f>
        <v>7858009.3899999997</v>
      </c>
      <c r="H23" s="17"/>
      <c r="I23" s="22">
        <f>+I20+I21</f>
        <v>1647567.1199999999</v>
      </c>
      <c r="J23"/>
      <c r="K23"/>
      <c r="L23" s="17"/>
      <c r="M23" s="17"/>
      <c r="N23" s="17"/>
      <c r="O23" s="17"/>
      <c r="P23" s="35"/>
      <c r="Q23" s="17"/>
      <c r="R23" s="14"/>
    </row>
    <row r="24" spans="1:22" ht="16.5" thickTop="1" x14ac:dyDescent="0.25">
      <c r="A24" s="14"/>
      <c r="B24" s="14"/>
      <c r="C24" s="14"/>
      <c r="D24" s="14"/>
      <c r="E24" s="17"/>
      <c r="F24" s="18"/>
      <c r="G24" s="17"/>
      <c r="H24" s="17"/>
      <c r="I24"/>
      <c r="J24"/>
      <c r="K24"/>
      <c r="L24" s="17"/>
      <c r="M24" s="17"/>
      <c r="N24" s="17"/>
      <c r="O24" s="17"/>
      <c r="P24" s="35"/>
      <c r="Q24" s="17"/>
      <c r="R24" s="14"/>
    </row>
    <row r="25" spans="1:22" ht="15.75" x14ac:dyDescent="0.25">
      <c r="A25" s="14"/>
      <c r="B25" s="14"/>
      <c r="C25" s="14"/>
      <c r="D25" s="14"/>
      <c r="E25" s="17"/>
      <c r="F25" s="18"/>
      <c r="G25" s="17"/>
      <c r="H25" s="17"/>
      <c r="I25"/>
      <c r="J25"/>
      <c r="K25"/>
      <c r="L25" s="17"/>
      <c r="M25" s="17"/>
      <c r="N25" s="17"/>
      <c r="O25" s="17"/>
      <c r="P25" s="17"/>
      <c r="Q25" s="17"/>
      <c r="R25" s="14"/>
    </row>
    <row r="26" spans="1:22" ht="16.5" thickBot="1" x14ac:dyDescent="0.3">
      <c r="A26" s="15" t="s">
        <v>19</v>
      </c>
      <c r="B26" s="14"/>
      <c r="C26" s="14"/>
      <c r="D26" s="14"/>
      <c r="E26" s="17"/>
      <c r="F26" s="20" t="s">
        <v>17</v>
      </c>
      <c r="G26" s="22">
        <f>+G14-G23</f>
        <v>-2655163.709999999</v>
      </c>
      <c r="H26" s="17"/>
      <c r="I26" s="22">
        <f>+I14-I23</f>
        <v>-1106841.77</v>
      </c>
      <c r="J26"/>
      <c r="K26"/>
      <c r="L26" s="17"/>
      <c r="M26" s="17"/>
      <c r="N26" s="17"/>
      <c r="O26" s="17"/>
      <c r="P26" s="17"/>
      <c r="Q26" s="17"/>
      <c r="R26" s="14"/>
    </row>
    <row r="27" spans="1:22" ht="16.5" thickTop="1" x14ac:dyDescent="0.25">
      <c r="A27" s="14"/>
      <c r="B27" s="14"/>
      <c r="C27" s="14"/>
      <c r="D27" s="14"/>
      <c r="E27" s="17"/>
      <c r="F27" s="17"/>
      <c r="G27" s="17"/>
      <c r="H27" s="17"/>
      <c r="I27" s="17"/>
      <c r="J27" s="18"/>
      <c r="K27" s="17"/>
      <c r="L27" s="17"/>
      <c r="M27" s="17"/>
      <c r="N27" s="17"/>
      <c r="O27" s="17"/>
      <c r="P27" s="17"/>
      <c r="Q27" s="17"/>
      <c r="R27" s="14"/>
    </row>
    <row r="28" spans="1:22" ht="15.75" x14ac:dyDescent="0.25">
      <c r="A28" s="14"/>
      <c r="B28" s="14"/>
      <c r="C28" s="14"/>
      <c r="D28" s="14"/>
      <c r="E28" s="17"/>
      <c r="F28" s="17"/>
      <c r="G28" s="17"/>
      <c r="H28" s="17"/>
      <c r="I28" s="17"/>
      <c r="J28" s="18"/>
      <c r="K28" s="17"/>
      <c r="L28" s="17"/>
      <c r="M28" s="17"/>
      <c r="N28" s="17"/>
      <c r="O28" s="17"/>
      <c r="P28" s="17"/>
      <c r="Q28" s="17"/>
      <c r="R28" s="14"/>
    </row>
    <row r="29" spans="1:22" ht="15.75" x14ac:dyDescent="0.25">
      <c r="A29" s="14"/>
      <c r="B29" s="14"/>
      <c r="C29" s="14"/>
      <c r="D29" s="14"/>
      <c r="E29" s="17"/>
      <c r="F29" s="17"/>
      <c r="G29" s="17"/>
      <c r="H29" s="17"/>
      <c r="I29" s="17"/>
      <c r="J29" s="20"/>
      <c r="K29" s="27"/>
      <c r="L29" s="17"/>
      <c r="M29" s="17"/>
      <c r="N29" s="17"/>
      <c r="O29" s="17"/>
      <c r="P29" s="17"/>
      <c r="Q29" s="17"/>
      <c r="R29" s="14"/>
    </row>
    <row r="30" spans="1:22" ht="15.75" x14ac:dyDescent="0.25">
      <c r="A30" s="15" t="s">
        <v>33</v>
      </c>
      <c r="B30" s="14"/>
      <c r="C30" s="14"/>
      <c r="D30" s="18"/>
      <c r="E30" s="35" t="s">
        <v>6</v>
      </c>
      <c r="F30" s="35"/>
      <c r="G30" s="35" t="s">
        <v>6</v>
      </c>
      <c r="H30" s="35"/>
      <c r="I30" s="35" t="s">
        <v>6</v>
      </c>
      <c r="J30" s="35"/>
      <c r="K30" s="35" t="s">
        <v>6</v>
      </c>
      <c r="L30" s="35"/>
      <c r="M30" s="35" t="s">
        <v>6</v>
      </c>
      <c r="N30" s="35"/>
      <c r="O30" s="35"/>
      <c r="P30" s="35" t="s">
        <v>6</v>
      </c>
      <c r="Q30" s="35"/>
      <c r="S30" s="35" t="s">
        <v>6</v>
      </c>
      <c r="V30" s="35" t="s">
        <v>6</v>
      </c>
    </row>
    <row r="31" spans="1:22" ht="15.75" x14ac:dyDescent="0.25">
      <c r="A31" s="15"/>
      <c r="B31" s="14"/>
      <c r="C31" s="14"/>
      <c r="D31" s="18"/>
      <c r="E31" s="35" t="s">
        <v>37</v>
      </c>
      <c r="F31" s="35"/>
      <c r="G31" s="35" t="s">
        <v>42</v>
      </c>
      <c r="H31" s="35"/>
      <c r="I31" s="35" t="s">
        <v>31</v>
      </c>
      <c r="J31" s="35"/>
      <c r="K31" s="35" t="s">
        <v>43</v>
      </c>
      <c r="L31" s="35"/>
      <c r="M31" s="35" t="s">
        <v>0</v>
      </c>
      <c r="N31" s="35"/>
      <c r="O31" s="35"/>
      <c r="P31" s="35" t="s">
        <v>46</v>
      </c>
      <c r="Q31" s="35"/>
      <c r="S31" s="35" t="s">
        <v>48</v>
      </c>
      <c r="V31" s="35" t="s">
        <v>49</v>
      </c>
    </row>
    <row r="32" spans="1:22" ht="15.75" x14ac:dyDescent="0.25">
      <c r="A32" s="14"/>
      <c r="B32" s="14"/>
      <c r="C32" s="14"/>
      <c r="D32" s="18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9"/>
      <c r="Q32" s="17"/>
      <c r="S32" s="39"/>
      <c r="V32" s="39"/>
    </row>
    <row r="33" spans="1:22" s="36" customFormat="1" ht="15.75" x14ac:dyDescent="0.25">
      <c r="A33" s="14" t="s">
        <v>20</v>
      </c>
      <c r="B33" s="14"/>
      <c r="C33" s="14"/>
      <c r="D33" s="18"/>
      <c r="E33" s="39">
        <f>+Deposits!B44+Deposits!C44+Deposits!D44+Deposits!H44</f>
        <v>2453251</v>
      </c>
      <c r="F33" s="39"/>
      <c r="G33" s="39">
        <f>+Deposits!E44</f>
        <v>10184.5</v>
      </c>
      <c r="H33" s="39"/>
      <c r="I33" s="39">
        <f>+Deposits!F44+Deposits!G44</f>
        <v>2080801.1999999997</v>
      </c>
      <c r="J33" s="39"/>
      <c r="K33" s="39">
        <f>+Deposits!I44+Deposits!J44</f>
        <v>935815.08000000007</v>
      </c>
      <c r="L33" s="39"/>
      <c r="M33" s="39">
        <f t="shared" ref="M33:M43" si="0">SUM(E33:L33)</f>
        <v>5480051.7799999993</v>
      </c>
      <c r="N33" s="39"/>
      <c r="O33" s="39"/>
      <c r="P33" s="39">
        <f>+Deposits!M44</f>
        <v>163629.86000000002</v>
      </c>
      <c r="Q33" s="39"/>
      <c r="S33" s="39">
        <f>+Deposits!N44</f>
        <v>100200</v>
      </c>
      <c r="V33" s="39">
        <f>+Deposits!O44</f>
        <v>0</v>
      </c>
    </row>
    <row r="34" spans="1:22" s="36" customFormat="1" ht="15.75" x14ac:dyDescent="0.25">
      <c r="A34" s="14" t="s">
        <v>21</v>
      </c>
      <c r="B34" s="14"/>
      <c r="C34" s="14"/>
      <c r="D34" s="18"/>
      <c r="E34" s="39">
        <f>+Deposits!B90+Deposits!C90+Deposits!D90+Deposits!H90</f>
        <v>3134782.13</v>
      </c>
      <c r="F34" s="39"/>
      <c r="G34" s="39">
        <f>+Deposits!E90</f>
        <v>6093.5</v>
      </c>
      <c r="H34" s="39"/>
      <c r="I34" s="39">
        <f>+Deposits!F90+Deposits!G90</f>
        <v>3179184.7</v>
      </c>
      <c r="J34" s="39"/>
      <c r="K34" s="39">
        <f>+Deposits!I90+Deposits!J90</f>
        <v>1041301.54</v>
      </c>
      <c r="L34" s="39"/>
      <c r="M34" s="39">
        <f t="shared" si="0"/>
        <v>7361361.8700000001</v>
      </c>
      <c r="N34" s="39"/>
      <c r="O34" s="39"/>
      <c r="P34" s="39">
        <f>+Deposits!M90</f>
        <v>440338.46</v>
      </c>
      <c r="Q34" s="39"/>
      <c r="S34" s="39">
        <f>+Deposits!N90</f>
        <v>200400</v>
      </c>
      <c r="V34" s="39">
        <f>+Deposits!O90</f>
        <v>200400</v>
      </c>
    </row>
    <row r="35" spans="1:22" s="36" customFormat="1" ht="15.75" x14ac:dyDescent="0.25">
      <c r="A35" s="14" t="s">
        <v>22</v>
      </c>
      <c r="B35" s="14"/>
      <c r="C35" s="14"/>
      <c r="D35" s="18"/>
      <c r="E35" s="39">
        <f>+Deposits!B136+Deposits!C136+Deposits!D136+Deposits!H136</f>
        <v>3091236.84</v>
      </c>
      <c r="F35" s="39"/>
      <c r="G35" s="39">
        <f>+Deposits!E136</f>
        <v>5367.5</v>
      </c>
      <c r="H35" s="39"/>
      <c r="I35" s="39">
        <f>+Deposits!F136+Deposits!G136</f>
        <v>3577301.6199999996</v>
      </c>
      <c r="J35" s="39"/>
      <c r="K35" s="39">
        <f>+Deposits!I136+Deposits!J136</f>
        <v>976137.2</v>
      </c>
      <c r="L35" s="39"/>
      <c r="M35" s="39">
        <f t="shared" si="0"/>
        <v>7650043.1599999992</v>
      </c>
      <c r="N35" s="39"/>
      <c r="O35" s="39"/>
      <c r="P35" s="39">
        <f>+Deposits!M136</f>
        <v>287763.43</v>
      </c>
      <c r="Q35" s="39"/>
      <c r="S35" s="39">
        <f>+Deposits!N136</f>
        <v>45000</v>
      </c>
      <c r="V35" s="39">
        <f>+Deposits!O136</f>
        <v>45000</v>
      </c>
    </row>
    <row r="36" spans="1:22" s="36" customFormat="1" ht="15.75" x14ac:dyDescent="0.25">
      <c r="A36" s="14" t="s">
        <v>23</v>
      </c>
      <c r="B36" s="14"/>
      <c r="C36" s="14"/>
      <c r="D36" s="18"/>
      <c r="E36" s="39">
        <f>+Deposits!B185+Deposits!C185+Deposits!D185+Deposits!H185</f>
        <v>2866523.02</v>
      </c>
      <c r="F36" s="39"/>
      <c r="G36" s="39">
        <f>+Deposits!E185</f>
        <v>4353</v>
      </c>
      <c r="H36" s="39"/>
      <c r="I36" s="39">
        <f>+Deposits!F185+Deposits!G185</f>
        <v>4109507.4499999997</v>
      </c>
      <c r="J36" s="39"/>
      <c r="K36" s="39">
        <f>+Deposits!I185+Deposits!J185</f>
        <v>711419.87000000011</v>
      </c>
      <c r="L36" s="39"/>
      <c r="M36" s="39">
        <f t="shared" si="0"/>
        <v>7691803.3399999999</v>
      </c>
      <c r="N36" s="39"/>
      <c r="O36" s="39"/>
      <c r="P36" s="39">
        <f>+Deposits!M185-500000-300000</f>
        <v>165841</v>
      </c>
      <c r="Q36" s="39"/>
      <c r="S36" s="39">
        <f>+Deposits!N185</f>
        <v>0</v>
      </c>
      <c r="V36" s="39">
        <f>+Deposits!O185</f>
        <v>0</v>
      </c>
    </row>
    <row r="37" spans="1:22" s="30" customFormat="1" ht="15.75" x14ac:dyDescent="0.25">
      <c r="A37" s="48" t="s">
        <v>7</v>
      </c>
      <c r="B37" s="15"/>
      <c r="C37" s="15"/>
      <c r="D37" s="20"/>
      <c r="E37" s="16">
        <f>+Deposits!B231+Deposits!C231+Deposits!D231+Deposits!H231</f>
        <v>1890525.1600000001</v>
      </c>
      <c r="F37" s="16"/>
      <c r="G37" s="16">
        <f>+Deposits!E231</f>
        <v>4441.5</v>
      </c>
      <c r="H37" s="16"/>
      <c r="I37" s="16">
        <f>+Deposits!F231+Deposits!G231</f>
        <v>3880608.45</v>
      </c>
      <c r="J37" s="16"/>
      <c r="K37" s="16">
        <f>+Deposits!I231+Deposits!J231</f>
        <v>561299.78</v>
      </c>
      <c r="L37" s="16"/>
      <c r="M37" s="16">
        <f t="shared" si="0"/>
        <v>6336874.8900000006</v>
      </c>
      <c r="N37" s="16"/>
      <c r="O37" s="16"/>
      <c r="P37" s="16">
        <f>+Deposits!M231-500000</f>
        <v>458412.43999999994</v>
      </c>
      <c r="Q37" s="16"/>
      <c r="S37" s="16">
        <f>+Deposits!N231</f>
        <v>86800</v>
      </c>
      <c r="V37" s="16">
        <f>+Deposits!O231</f>
        <v>0</v>
      </c>
    </row>
    <row r="38" spans="1:22" s="36" customFormat="1" ht="15.75" x14ac:dyDescent="0.25">
      <c r="A38" s="40" t="s">
        <v>24</v>
      </c>
      <c r="B38" s="40"/>
      <c r="C38" s="40"/>
      <c r="D38" s="41"/>
      <c r="E38" s="39">
        <f>+Deposits!B277+Deposits!C277+Deposits!D277+Deposits!H277</f>
        <v>0</v>
      </c>
      <c r="F38" s="42"/>
      <c r="G38" s="39">
        <f>+Deposits!E277</f>
        <v>0</v>
      </c>
      <c r="H38" s="42"/>
      <c r="I38" s="39">
        <f>+Deposits!F277+Deposits!G277</f>
        <v>0</v>
      </c>
      <c r="J38" s="42"/>
      <c r="K38" s="39">
        <f>+Deposits!I277+Deposits!J277</f>
        <v>0</v>
      </c>
      <c r="L38" s="42"/>
      <c r="M38" s="39">
        <f t="shared" si="0"/>
        <v>0</v>
      </c>
      <c r="N38" s="39"/>
      <c r="O38" s="39"/>
      <c r="P38" s="39">
        <f>+Deposits!M277</f>
        <v>0</v>
      </c>
      <c r="Q38" s="39"/>
      <c r="S38" s="39">
        <f>+Deposits!N277</f>
        <v>0</v>
      </c>
      <c r="V38" s="39">
        <f>+Deposits!O277</f>
        <v>0</v>
      </c>
    </row>
    <row r="39" spans="1:22" s="36" customFormat="1" ht="15.75" x14ac:dyDescent="0.25">
      <c r="A39" s="40" t="s">
        <v>25</v>
      </c>
      <c r="B39" s="40"/>
      <c r="C39" s="40"/>
      <c r="D39" s="41"/>
      <c r="E39" s="39">
        <f>+Deposits!B326+Deposits!C326+Deposits!D326+Deposits!H326</f>
        <v>0</v>
      </c>
      <c r="F39" s="42"/>
      <c r="G39" s="39">
        <f>+Deposits!E326</f>
        <v>0</v>
      </c>
      <c r="H39" s="42"/>
      <c r="I39" s="39">
        <f>+Deposits!F326+Deposits!G326</f>
        <v>0</v>
      </c>
      <c r="J39" s="42"/>
      <c r="K39" s="39">
        <f>+Deposits!I326+Deposits!J326</f>
        <v>0</v>
      </c>
      <c r="L39" s="42"/>
      <c r="M39" s="39">
        <f t="shared" si="0"/>
        <v>0</v>
      </c>
      <c r="N39" s="39"/>
      <c r="O39" s="39"/>
      <c r="P39" s="39">
        <f>+Deposits!M326</f>
        <v>0</v>
      </c>
      <c r="Q39" s="39"/>
      <c r="S39" s="39">
        <f>+Deposits!N326</f>
        <v>0</v>
      </c>
      <c r="V39" s="39">
        <f>+Deposits!O326</f>
        <v>0</v>
      </c>
    </row>
    <row r="40" spans="1:22" s="36" customFormat="1" ht="15.75" x14ac:dyDescent="0.25">
      <c r="A40" s="40" t="s">
        <v>26</v>
      </c>
      <c r="B40" s="40"/>
      <c r="C40" s="40"/>
      <c r="D40" s="41"/>
      <c r="E40" s="39">
        <f>+Deposits!B372+Deposits!C372+Deposits!D372+Deposits!H372</f>
        <v>0</v>
      </c>
      <c r="F40" s="42"/>
      <c r="G40" s="39">
        <f>+Deposits!E372</f>
        <v>0</v>
      </c>
      <c r="H40" s="42"/>
      <c r="I40" s="39">
        <f>+Deposits!F372+Deposits!G372</f>
        <v>0</v>
      </c>
      <c r="J40" s="42"/>
      <c r="K40" s="39">
        <f>+Deposits!I372+Deposits!J372</f>
        <v>0</v>
      </c>
      <c r="L40" s="42"/>
      <c r="M40" s="39">
        <f t="shared" si="0"/>
        <v>0</v>
      </c>
      <c r="N40" s="39"/>
      <c r="O40" s="39"/>
      <c r="P40" s="39">
        <f>+Deposits!M372</f>
        <v>0</v>
      </c>
      <c r="Q40" s="39"/>
      <c r="S40" s="39">
        <f>+Deposits!N372</f>
        <v>0</v>
      </c>
      <c r="V40" s="39">
        <f>+Deposits!O372</f>
        <v>0</v>
      </c>
    </row>
    <row r="41" spans="1:22" s="36" customFormat="1" ht="15.75" x14ac:dyDescent="0.25">
      <c r="A41" s="40" t="s">
        <v>27</v>
      </c>
      <c r="B41" s="40"/>
      <c r="C41" s="40"/>
      <c r="D41" s="41"/>
      <c r="E41" s="39">
        <f>+Deposits!B418+Deposits!C418+Deposits!D418+Deposits!H418</f>
        <v>0</v>
      </c>
      <c r="F41" s="42"/>
      <c r="G41" s="39">
        <f>+Deposits!E418</f>
        <v>0</v>
      </c>
      <c r="H41" s="42"/>
      <c r="I41" s="39">
        <f>+Deposits!F418+Deposits!G418</f>
        <v>0</v>
      </c>
      <c r="J41" s="42"/>
      <c r="K41" s="39">
        <f>+Deposits!I418+Deposits!J418</f>
        <v>0</v>
      </c>
      <c r="L41" s="42"/>
      <c r="M41" s="39">
        <f t="shared" si="0"/>
        <v>0</v>
      </c>
      <c r="N41" s="39"/>
      <c r="O41" s="39"/>
      <c r="P41" s="39">
        <f>+Deposits!M418</f>
        <v>0</v>
      </c>
      <c r="Q41" s="39"/>
      <c r="S41" s="39">
        <f>+Deposits!N418</f>
        <v>0</v>
      </c>
      <c r="V41" s="39">
        <f>+Deposits!O418</f>
        <v>0</v>
      </c>
    </row>
    <row r="42" spans="1:22" s="36" customFormat="1" ht="15.75" x14ac:dyDescent="0.25">
      <c r="A42" s="40" t="s">
        <v>28</v>
      </c>
      <c r="B42" s="40"/>
      <c r="C42" s="40"/>
      <c r="D42" s="41"/>
      <c r="E42" s="39">
        <f>+Deposits!B464+Deposits!C464+Deposits!D464+Deposits!H464</f>
        <v>0</v>
      </c>
      <c r="F42" s="42"/>
      <c r="G42" s="39">
        <f>+Deposits!E464</f>
        <v>0</v>
      </c>
      <c r="H42" s="42"/>
      <c r="I42" s="39">
        <f>+Deposits!F464+Deposits!G464</f>
        <v>0</v>
      </c>
      <c r="J42" s="42"/>
      <c r="K42" s="39">
        <f>+Deposits!I464+Deposits!J464</f>
        <v>0</v>
      </c>
      <c r="L42" s="42"/>
      <c r="M42" s="39">
        <f t="shared" si="0"/>
        <v>0</v>
      </c>
      <c r="N42" s="39"/>
      <c r="O42" s="39"/>
      <c r="P42" s="39">
        <f>+Deposits!M464</f>
        <v>0</v>
      </c>
      <c r="Q42" s="39"/>
      <c r="S42" s="39">
        <f>+Deposits!N464</f>
        <v>0</v>
      </c>
      <c r="U42" s="43"/>
      <c r="V42" s="39">
        <f>+Deposits!O464</f>
        <v>0</v>
      </c>
    </row>
    <row r="43" spans="1:22" s="36" customFormat="1" ht="15.75" x14ac:dyDescent="0.25">
      <c r="A43" s="14" t="s">
        <v>29</v>
      </c>
      <c r="B43" s="14"/>
      <c r="C43" s="14"/>
      <c r="D43" s="18"/>
      <c r="E43" s="39">
        <f>+Deposits!B510+Deposits!C510+Deposits!D510+Deposits!H510</f>
        <v>0</v>
      </c>
      <c r="F43" s="39"/>
      <c r="G43" s="39">
        <f>+Deposits!E510</f>
        <v>0</v>
      </c>
      <c r="H43" s="39"/>
      <c r="I43" s="39">
        <f>+Deposits!F510+Deposits!G510</f>
        <v>0</v>
      </c>
      <c r="J43" s="39"/>
      <c r="K43" s="39">
        <f>+Deposits!I510+Deposits!J510</f>
        <v>0</v>
      </c>
      <c r="L43" s="39"/>
      <c r="M43" s="39">
        <f t="shared" si="0"/>
        <v>0</v>
      </c>
      <c r="N43" s="39"/>
      <c r="O43" s="39"/>
      <c r="P43" s="39">
        <f>+Deposits!M510</f>
        <v>0</v>
      </c>
      <c r="Q43" s="39"/>
      <c r="S43" s="39">
        <f>+Deposits!N510</f>
        <v>0</v>
      </c>
      <c r="T43" s="43"/>
      <c r="V43" s="39">
        <f>+Deposits!O510</f>
        <v>0</v>
      </c>
    </row>
    <row r="44" spans="1:22" s="36" customFormat="1" ht="15.75" x14ac:dyDescent="0.25">
      <c r="A44" s="14" t="s">
        <v>30</v>
      </c>
      <c r="B44" s="14"/>
      <c r="C44" s="14"/>
      <c r="D44" s="18"/>
      <c r="E44" s="39">
        <f>+Deposits!B559+Deposits!C559+Deposits!D559+Deposits!H559</f>
        <v>0</v>
      </c>
      <c r="F44" s="39"/>
      <c r="G44" s="39">
        <f>+Deposits!E559</f>
        <v>0</v>
      </c>
      <c r="H44" s="39"/>
      <c r="I44" s="39">
        <f>+Deposits!F559+Deposits!G559</f>
        <v>0</v>
      </c>
      <c r="J44" s="39"/>
      <c r="K44" s="39">
        <f>+Deposits!I559+Deposits!J559</f>
        <v>0</v>
      </c>
      <c r="L44" s="39"/>
      <c r="M44" s="39">
        <f>SUM(E44:L44)</f>
        <v>0</v>
      </c>
      <c r="N44" s="39"/>
      <c r="O44" s="39"/>
      <c r="P44" s="39">
        <f>+Deposits!M559</f>
        <v>0</v>
      </c>
      <c r="Q44" s="39"/>
      <c r="S44" s="39">
        <f>+Deposits!N559</f>
        <v>0</v>
      </c>
      <c r="V44" s="39">
        <f>+Deposits!O559</f>
        <v>0</v>
      </c>
    </row>
    <row r="45" spans="1:22" ht="15.75" x14ac:dyDescent="0.25">
      <c r="A45" s="14"/>
      <c r="B45" s="14"/>
      <c r="C45" s="14"/>
      <c r="D45" s="18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9"/>
      <c r="Q45" s="17"/>
      <c r="S45" s="39"/>
      <c r="V45" s="39"/>
    </row>
    <row r="46" spans="1:22" ht="16.5" thickBot="1" x14ac:dyDescent="0.3">
      <c r="A46" s="15" t="s">
        <v>32</v>
      </c>
      <c r="B46" s="15"/>
      <c r="C46" s="15"/>
      <c r="D46" s="20"/>
      <c r="E46" s="22">
        <f>SUM(E33:E45)</f>
        <v>13436318.149999999</v>
      </c>
      <c r="F46" s="20"/>
      <c r="G46" s="22">
        <f>SUM(G33:G45)</f>
        <v>30440</v>
      </c>
      <c r="H46" s="20"/>
      <c r="I46" s="22">
        <f>SUM(I33:I45)</f>
        <v>16827403.419999998</v>
      </c>
      <c r="J46" s="20"/>
      <c r="K46" s="22">
        <f>SUM(K33:K45)</f>
        <v>4225973.4700000007</v>
      </c>
      <c r="L46" s="20"/>
      <c r="M46" s="22">
        <f>SUM(M33:M45)</f>
        <v>34520135.039999999</v>
      </c>
      <c r="N46" s="20"/>
      <c r="O46" s="20"/>
      <c r="P46" s="22">
        <f>SUM(P33:P45)</f>
        <v>1515985.19</v>
      </c>
      <c r="Q46" s="20"/>
      <c r="S46" s="22">
        <f>SUM(S33:S45)</f>
        <v>432400</v>
      </c>
      <c r="V46" s="22">
        <f>SUM(V33:V45)</f>
        <v>245400</v>
      </c>
    </row>
    <row r="47" spans="1:22" ht="16.5" thickTop="1" x14ac:dyDescent="0.25">
      <c r="A47" s="32"/>
      <c r="B47" s="32"/>
      <c r="C47" s="32"/>
      <c r="D47" s="32"/>
      <c r="E47" s="33"/>
      <c r="F47" s="33"/>
      <c r="G47" s="33"/>
      <c r="H47" s="33"/>
      <c r="I47" s="33"/>
      <c r="J47" s="34"/>
      <c r="K47" s="33"/>
      <c r="L47" s="34"/>
      <c r="M47" s="33"/>
      <c r="N47" s="33"/>
      <c r="O47" s="33"/>
      <c r="P47" s="33"/>
      <c r="Q47" s="33"/>
    </row>
  </sheetData>
  <phoneticPr fontId="0" type="noConversion"/>
  <pageMargins left="0.5" right="0.5" top="0.5" bottom="0.5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597"/>
  <sheetViews>
    <sheetView tabSelected="1" topLeftCell="A185" zoomScale="90" zoomScaleNormal="90" workbookViewId="0">
      <selection activeCell="K210" sqref="K210"/>
    </sheetView>
  </sheetViews>
  <sheetFormatPr defaultRowHeight="12.75" x14ac:dyDescent="0.2"/>
  <cols>
    <col min="1" max="1" width="8.42578125" customWidth="1"/>
    <col min="2" max="3" width="11.28515625" customWidth="1"/>
    <col min="4" max="4" width="15.140625" customWidth="1"/>
    <col min="5" max="5" width="12.140625" customWidth="1"/>
    <col min="6" max="6" width="12.28515625" customWidth="1"/>
    <col min="7" max="7" width="11.5703125" customWidth="1"/>
    <col min="8" max="8" width="12.85546875" customWidth="1"/>
    <col min="9" max="9" width="11.85546875" bestFit="1" customWidth="1"/>
    <col min="10" max="10" width="11.140625" style="25" customWidth="1"/>
    <col min="11" max="11" width="13.140625" customWidth="1"/>
    <col min="12" max="12" width="11.5703125" customWidth="1"/>
    <col min="13" max="13" width="12.42578125" style="25" customWidth="1"/>
    <col min="14" max="14" width="11.5703125" style="25" customWidth="1"/>
    <col min="15" max="15" width="14" customWidth="1"/>
    <col min="16" max="16" width="12.140625" style="25" customWidth="1"/>
  </cols>
  <sheetData>
    <row r="1" spans="1:15" x14ac:dyDescent="0.2">
      <c r="A1" s="11" t="s">
        <v>20</v>
      </c>
      <c r="B1" s="9"/>
      <c r="C1" s="9"/>
      <c r="D1" s="2"/>
      <c r="E1" s="2"/>
      <c r="F1" s="11" t="s">
        <v>0</v>
      </c>
      <c r="G1" s="2"/>
      <c r="H1" s="2"/>
      <c r="I1" s="2"/>
    </row>
    <row r="2" spans="1:15" x14ac:dyDescent="0.2">
      <c r="A2" s="9"/>
      <c r="B2" s="9"/>
      <c r="C2" s="9"/>
      <c r="D2" s="2"/>
      <c r="E2" s="2"/>
      <c r="F2" s="11" t="s">
        <v>1</v>
      </c>
      <c r="G2" s="2"/>
      <c r="H2" s="2"/>
      <c r="I2" s="2"/>
    </row>
    <row r="3" spans="1:15" x14ac:dyDescent="0.2">
      <c r="A3" s="2"/>
      <c r="B3" s="2"/>
      <c r="C3" s="2"/>
      <c r="D3" s="2"/>
      <c r="E3" s="2"/>
      <c r="F3" s="2"/>
      <c r="G3" s="2"/>
      <c r="H3" s="2"/>
      <c r="I3" s="2"/>
    </row>
    <row r="4" spans="1:15" x14ac:dyDescent="0.2">
      <c r="A4" s="4"/>
      <c r="B4" s="11" t="s">
        <v>2</v>
      </c>
      <c r="C4" s="11" t="s">
        <v>38</v>
      </c>
      <c r="D4" s="11" t="s">
        <v>44</v>
      </c>
      <c r="E4" s="11" t="s">
        <v>41</v>
      </c>
      <c r="F4" s="11" t="s">
        <v>4</v>
      </c>
      <c r="G4" s="11" t="s">
        <v>36</v>
      </c>
      <c r="H4" s="11" t="s">
        <v>3</v>
      </c>
      <c r="I4" s="11" t="s">
        <v>40</v>
      </c>
      <c r="J4" s="11" t="s">
        <v>45</v>
      </c>
      <c r="K4" s="11" t="s">
        <v>5</v>
      </c>
      <c r="L4" s="11" t="s">
        <v>6</v>
      </c>
      <c r="M4" s="11" t="s">
        <v>46</v>
      </c>
      <c r="N4" s="11" t="s">
        <v>48</v>
      </c>
      <c r="O4" s="11" t="s">
        <v>49</v>
      </c>
    </row>
    <row r="5" spans="1:15" x14ac:dyDescent="0.2">
      <c r="A5" s="2"/>
      <c r="B5" s="2"/>
      <c r="C5" s="2"/>
      <c r="D5" s="2"/>
      <c r="F5" s="2"/>
      <c r="G5" s="2"/>
      <c r="H5" s="2"/>
      <c r="J5" s="2"/>
      <c r="K5" s="2"/>
      <c r="L5" s="2"/>
      <c r="M5" s="2"/>
      <c r="N5" s="2"/>
      <c r="O5" s="2"/>
    </row>
    <row r="6" spans="1:15" x14ac:dyDescent="0.2">
      <c r="A6" s="2">
        <v>4</v>
      </c>
      <c r="B6" s="5">
        <v>0</v>
      </c>
      <c r="C6" s="5">
        <v>1287.0999999999999</v>
      </c>
      <c r="D6" s="5">
        <v>125</v>
      </c>
      <c r="E6" s="5">
        <v>179</v>
      </c>
      <c r="F6" s="5">
        <v>1600000</v>
      </c>
      <c r="G6" s="5">
        <v>410</v>
      </c>
      <c r="H6" s="5">
        <v>4679.2</v>
      </c>
      <c r="I6" s="5">
        <v>44616.22</v>
      </c>
      <c r="J6" s="5">
        <v>0</v>
      </c>
      <c r="K6" s="5">
        <v>0</v>
      </c>
      <c r="L6" s="5">
        <f>SUM(B6:K6)</f>
        <v>1651296.52</v>
      </c>
      <c r="M6" s="5">
        <v>0</v>
      </c>
      <c r="N6" s="5">
        <v>0</v>
      </c>
      <c r="O6" s="5">
        <v>0</v>
      </c>
    </row>
    <row r="7" spans="1:15" x14ac:dyDescent="0.2">
      <c r="A7" s="2">
        <v>5</v>
      </c>
      <c r="B7" s="5">
        <v>116093</v>
      </c>
      <c r="C7" s="5">
        <v>23429.1</v>
      </c>
      <c r="D7" s="5">
        <v>60</v>
      </c>
      <c r="E7" s="5">
        <v>321.5</v>
      </c>
      <c r="F7" s="5">
        <v>0</v>
      </c>
      <c r="G7" s="5">
        <v>111612</v>
      </c>
      <c r="H7" s="5">
        <v>2201</v>
      </c>
      <c r="I7" s="5">
        <v>58604.19</v>
      </c>
      <c r="J7" s="5">
        <v>0</v>
      </c>
      <c r="K7" s="5">
        <v>0</v>
      </c>
      <c r="L7" s="5">
        <f t="shared" ref="L7:L10" si="0">SUM(B7:K7)</f>
        <v>312320.79000000004</v>
      </c>
      <c r="M7" s="5">
        <v>0</v>
      </c>
      <c r="N7" s="5">
        <v>0</v>
      </c>
      <c r="O7" s="5">
        <v>0</v>
      </c>
    </row>
    <row r="8" spans="1:15" x14ac:dyDescent="0.2">
      <c r="A8" s="2">
        <v>6</v>
      </c>
      <c r="B8" s="5">
        <v>51525.2</v>
      </c>
      <c r="C8" s="5">
        <v>6974.2</v>
      </c>
      <c r="D8" s="5">
        <v>106</v>
      </c>
      <c r="E8" s="5">
        <v>345</v>
      </c>
      <c r="F8" s="5">
        <v>0</v>
      </c>
      <c r="G8" s="5">
        <v>43400</v>
      </c>
      <c r="H8" s="5">
        <v>2250</v>
      </c>
      <c r="I8" s="5">
        <v>64870.73</v>
      </c>
      <c r="J8" s="5">
        <v>77.5</v>
      </c>
      <c r="K8" s="5">
        <v>0</v>
      </c>
      <c r="L8" s="5">
        <f t="shared" si="0"/>
        <v>169548.63</v>
      </c>
      <c r="M8" s="5">
        <v>0</v>
      </c>
      <c r="N8" s="5">
        <v>0</v>
      </c>
      <c r="O8" s="5">
        <v>0</v>
      </c>
    </row>
    <row r="9" spans="1:15" x14ac:dyDescent="0.2">
      <c r="A9" s="7">
        <v>7</v>
      </c>
      <c r="B9" s="5">
        <v>8042</v>
      </c>
      <c r="C9" s="5">
        <v>2759.1</v>
      </c>
      <c r="D9" s="5">
        <v>30</v>
      </c>
      <c r="E9" s="5">
        <v>141</v>
      </c>
      <c r="F9" s="5">
        <v>48400</v>
      </c>
      <c r="G9" s="5">
        <v>20900</v>
      </c>
      <c r="H9" s="5">
        <v>1083</v>
      </c>
      <c r="I9" s="5">
        <v>40925.26</v>
      </c>
      <c r="J9" s="5">
        <v>145</v>
      </c>
      <c r="K9" s="5">
        <v>0</v>
      </c>
      <c r="L9" s="5">
        <f t="shared" si="0"/>
        <v>122425.36000000002</v>
      </c>
      <c r="M9" s="5">
        <v>100200</v>
      </c>
      <c r="N9" s="5">
        <v>100200</v>
      </c>
      <c r="O9" s="5">
        <v>0</v>
      </c>
    </row>
    <row r="10" spans="1:15" x14ac:dyDescent="0.2">
      <c r="A10" s="7">
        <v>8</v>
      </c>
      <c r="B10" s="5">
        <v>65728.14</v>
      </c>
      <c r="C10" s="5">
        <v>9260.25</v>
      </c>
      <c r="D10" s="5">
        <v>50</v>
      </c>
      <c r="E10" s="5">
        <v>93</v>
      </c>
      <c r="F10" s="5">
        <v>0</v>
      </c>
      <c r="G10" s="5">
        <v>33400</v>
      </c>
      <c r="H10" s="5">
        <v>990</v>
      </c>
      <c r="I10" s="5">
        <v>36667</v>
      </c>
      <c r="J10" s="5">
        <v>0</v>
      </c>
      <c r="K10" s="5">
        <v>0</v>
      </c>
      <c r="L10" s="5">
        <f t="shared" si="0"/>
        <v>146188.39000000001</v>
      </c>
      <c r="M10" s="5">
        <v>0</v>
      </c>
      <c r="N10" s="5">
        <v>0</v>
      </c>
      <c r="O10" s="5">
        <v>0</v>
      </c>
    </row>
    <row r="11" spans="1:15" x14ac:dyDescent="0.2">
      <c r="A11" s="3" t="s">
        <v>8</v>
      </c>
      <c r="B11" s="10">
        <f t="shared" ref="B11:K11" si="1">SUM(B6:B10)</f>
        <v>241388.34000000003</v>
      </c>
      <c r="C11" s="10">
        <f t="shared" si="1"/>
        <v>43709.75</v>
      </c>
      <c r="D11" s="10">
        <f t="shared" si="1"/>
        <v>371</v>
      </c>
      <c r="E11" s="10">
        <f t="shared" si="1"/>
        <v>1079.5</v>
      </c>
      <c r="F11" s="10">
        <f t="shared" si="1"/>
        <v>1648400</v>
      </c>
      <c r="G11" s="10">
        <f t="shared" si="1"/>
        <v>209722</v>
      </c>
      <c r="H11" s="10">
        <f t="shared" si="1"/>
        <v>11203.2</v>
      </c>
      <c r="I11" s="10">
        <f t="shared" si="1"/>
        <v>245683.40000000002</v>
      </c>
      <c r="J11" s="10">
        <f t="shared" si="1"/>
        <v>222.5</v>
      </c>
      <c r="K11" s="10">
        <f t="shared" si="1"/>
        <v>0</v>
      </c>
      <c r="L11" s="10">
        <f>SUM(L6:L10)</f>
        <v>2401779.69</v>
      </c>
      <c r="M11" s="10">
        <f t="shared" ref="M11" si="2">SUM(M6:M10)</f>
        <v>100200</v>
      </c>
      <c r="N11" s="10">
        <f>SUM(N7:N10)</f>
        <v>100200</v>
      </c>
      <c r="O11" s="10">
        <f>SUM(O7:O10)</f>
        <v>0</v>
      </c>
    </row>
    <row r="12" spans="1: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7">
        <v>11</v>
      </c>
      <c r="B13" s="5">
        <v>21790.44</v>
      </c>
      <c r="C13" s="5">
        <v>6257</v>
      </c>
      <c r="D13" s="5">
        <v>75</v>
      </c>
      <c r="E13" s="5">
        <v>362</v>
      </c>
      <c r="F13" s="5">
        <v>19.2</v>
      </c>
      <c r="G13" s="5">
        <v>12910</v>
      </c>
      <c r="H13" s="5">
        <v>4650</v>
      </c>
      <c r="I13" s="5">
        <v>71131.16</v>
      </c>
      <c r="J13" s="5">
        <v>80</v>
      </c>
      <c r="K13" s="5">
        <v>0</v>
      </c>
      <c r="L13" s="5">
        <f t="shared" ref="L13:L17" si="3">SUM(B13:K13)</f>
        <v>117274.8</v>
      </c>
      <c r="M13" s="5">
        <v>45000</v>
      </c>
      <c r="N13" s="5">
        <v>0</v>
      </c>
      <c r="O13" s="5">
        <v>0</v>
      </c>
    </row>
    <row r="14" spans="1:15" x14ac:dyDescent="0.2">
      <c r="A14" s="7">
        <v>12</v>
      </c>
      <c r="B14" s="5">
        <v>190837.39</v>
      </c>
      <c r="C14" s="5">
        <v>22885.200000000001</v>
      </c>
      <c r="D14" s="5">
        <v>50</v>
      </c>
      <c r="E14" s="5">
        <v>371</v>
      </c>
      <c r="F14" s="5">
        <v>0</v>
      </c>
      <c r="G14" s="5">
        <v>16200</v>
      </c>
      <c r="H14" s="5">
        <v>2378</v>
      </c>
      <c r="I14" s="5">
        <v>63394.11</v>
      </c>
      <c r="J14" s="5">
        <v>0</v>
      </c>
      <c r="K14" s="5">
        <v>0</v>
      </c>
      <c r="L14" s="5">
        <f t="shared" si="3"/>
        <v>296115.7</v>
      </c>
      <c r="M14" s="5">
        <v>546</v>
      </c>
      <c r="N14" s="5">
        <v>0</v>
      </c>
      <c r="O14" s="5">
        <v>0</v>
      </c>
    </row>
    <row r="15" spans="1:15" x14ac:dyDescent="0.2">
      <c r="A15" s="7">
        <v>13</v>
      </c>
      <c r="B15" s="5">
        <v>36462</v>
      </c>
      <c r="C15" s="5">
        <v>7466</v>
      </c>
      <c r="D15" s="5">
        <v>70</v>
      </c>
      <c r="E15" s="5">
        <v>869</v>
      </c>
      <c r="F15" s="5">
        <v>-5000</v>
      </c>
      <c r="G15" s="5">
        <f>720-16600</f>
        <v>-15880</v>
      </c>
      <c r="H15" s="5">
        <v>4654.16</v>
      </c>
      <c r="I15" s="5">
        <v>52201.56</v>
      </c>
      <c r="J15" s="5">
        <v>13</v>
      </c>
      <c r="K15" s="5">
        <v>0</v>
      </c>
      <c r="L15" s="5">
        <f t="shared" si="3"/>
        <v>80855.72</v>
      </c>
      <c r="M15" s="5">
        <v>21600</v>
      </c>
      <c r="N15" s="5">
        <v>0</v>
      </c>
      <c r="O15" s="5">
        <v>0</v>
      </c>
    </row>
    <row r="16" spans="1:15" x14ac:dyDescent="0.2">
      <c r="A16" s="7">
        <v>14</v>
      </c>
      <c r="B16" s="5">
        <v>49024.93</v>
      </c>
      <c r="C16" s="5">
        <v>29333</v>
      </c>
      <c r="D16" s="5">
        <v>10</v>
      </c>
      <c r="E16" s="5">
        <v>5159</v>
      </c>
      <c r="F16" s="5">
        <v>66800</v>
      </c>
      <c r="G16" s="5">
        <v>5200</v>
      </c>
      <c r="H16" s="5">
        <v>5605</v>
      </c>
      <c r="I16" s="5">
        <v>58160.88</v>
      </c>
      <c r="J16" s="5">
        <v>1352</v>
      </c>
      <c r="K16" s="5">
        <v>0</v>
      </c>
      <c r="L16" s="5">
        <f t="shared" si="3"/>
        <v>220644.81</v>
      </c>
      <c r="M16" s="5">
        <v>0</v>
      </c>
      <c r="N16" s="5">
        <v>0</v>
      </c>
      <c r="O16" s="5">
        <v>0</v>
      </c>
    </row>
    <row r="17" spans="1:15" x14ac:dyDescent="0.2">
      <c r="A17" s="8">
        <v>15</v>
      </c>
      <c r="B17" s="5">
        <v>31237</v>
      </c>
      <c r="C17" s="5">
        <v>67673.259999999995</v>
      </c>
      <c r="D17" s="5">
        <v>45</v>
      </c>
      <c r="E17" s="5">
        <v>65</v>
      </c>
      <c r="F17" s="5">
        <v>0</v>
      </c>
      <c r="G17" s="5">
        <v>0</v>
      </c>
      <c r="H17" s="5">
        <v>3444</v>
      </c>
      <c r="I17" s="5">
        <v>29097.78</v>
      </c>
      <c r="J17" s="5">
        <v>0</v>
      </c>
      <c r="K17" s="5">
        <v>0</v>
      </c>
      <c r="L17" s="5">
        <f t="shared" si="3"/>
        <v>131562.03999999998</v>
      </c>
      <c r="M17" s="5">
        <v>0</v>
      </c>
      <c r="N17" s="5">
        <v>0</v>
      </c>
      <c r="O17" s="5">
        <v>0</v>
      </c>
    </row>
    <row r="18" spans="1:15" x14ac:dyDescent="0.2">
      <c r="A18" s="3" t="s">
        <v>8</v>
      </c>
      <c r="B18" s="10">
        <f t="shared" ref="B18:K18" si="4">SUM(B13:B17)</f>
        <v>329351.76</v>
      </c>
      <c r="C18" s="10">
        <f t="shared" si="4"/>
        <v>133614.46</v>
      </c>
      <c r="D18" s="10">
        <f t="shared" si="4"/>
        <v>250</v>
      </c>
      <c r="E18" s="10">
        <f t="shared" si="4"/>
        <v>6826</v>
      </c>
      <c r="F18" s="10">
        <f t="shared" si="4"/>
        <v>61819.199999999997</v>
      </c>
      <c r="G18" s="10">
        <f t="shared" si="4"/>
        <v>18430</v>
      </c>
      <c r="H18" s="10">
        <f t="shared" si="4"/>
        <v>20731.16</v>
      </c>
      <c r="I18" s="10">
        <f t="shared" si="4"/>
        <v>273985.49</v>
      </c>
      <c r="J18" s="10">
        <f t="shared" si="4"/>
        <v>1445</v>
      </c>
      <c r="K18" s="10">
        <f t="shared" si="4"/>
        <v>0</v>
      </c>
      <c r="L18" s="10">
        <f>SUM(L13:L17)</f>
        <v>846453.07000000007</v>
      </c>
      <c r="M18" s="10">
        <f t="shared" ref="M18" si="5">SUM(M13:M17)</f>
        <v>67146</v>
      </c>
      <c r="N18" s="10">
        <f t="shared" ref="N18:O18" si="6">SUM(N13:N17)</f>
        <v>0</v>
      </c>
      <c r="O18" s="10">
        <f t="shared" si="6"/>
        <v>0</v>
      </c>
    </row>
    <row r="19" spans="1:1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">
      <c r="A20" s="2">
        <v>18</v>
      </c>
      <c r="B20" s="5">
        <v>0</v>
      </c>
      <c r="C20" s="5">
        <v>0</v>
      </c>
      <c r="D20" s="5">
        <v>160</v>
      </c>
      <c r="E20" s="5">
        <v>330</v>
      </c>
      <c r="F20" s="5">
        <v>0</v>
      </c>
      <c r="G20" s="5">
        <v>8175</v>
      </c>
      <c r="H20" s="5">
        <v>9363.24</v>
      </c>
      <c r="I20" s="5">
        <v>82873.67</v>
      </c>
      <c r="J20" s="5">
        <v>125</v>
      </c>
      <c r="K20" s="5">
        <v>0</v>
      </c>
      <c r="L20" s="5">
        <f t="shared" ref="L20:L24" si="7">SUM(B20:K20)</f>
        <v>101026.91</v>
      </c>
      <c r="M20" s="5">
        <v>0</v>
      </c>
      <c r="N20" s="5">
        <v>0</v>
      </c>
      <c r="O20" s="5">
        <v>0</v>
      </c>
    </row>
    <row r="21" spans="1:15" x14ac:dyDescent="0.2">
      <c r="A21" s="2">
        <v>19</v>
      </c>
      <c r="B21" s="5">
        <v>64369</v>
      </c>
      <c r="C21" s="5">
        <f>46058.2</f>
        <v>46058.2</v>
      </c>
      <c r="D21" s="5">
        <v>20</v>
      </c>
      <c r="E21" s="5">
        <v>20</v>
      </c>
      <c r="F21" s="5">
        <v>0</v>
      </c>
      <c r="G21" s="5">
        <v>730</v>
      </c>
      <c r="H21" s="5">
        <v>2165</v>
      </c>
      <c r="I21" s="5">
        <v>18298.419999999998</v>
      </c>
      <c r="J21" s="5">
        <v>25</v>
      </c>
      <c r="K21" s="5">
        <v>0</v>
      </c>
      <c r="L21" s="5">
        <f t="shared" si="7"/>
        <v>131685.62</v>
      </c>
      <c r="M21" s="5">
        <v>16600</v>
      </c>
      <c r="N21" s="5">
        <v>0</v>
      </c>
      <c r="O21" s="5">
        <v>0</v>
      </c>
    </row>
    <row r="22" spans="1:15" x14ac:dyDescent="0.2">
      <c r="A22" s="2">
        <v>20</v>
      </c>
      <c r="B22" s="5">
        <v>312783.57</v>
      </c>
      <c r="C22" s="5">
        <v>66249.7</v>
      </c>
      <c r="D22" s="5">
        <v>65</v>
      </c>
      <c r="E22" s="5">
        <v>9</v>
      </c>
      <c r="F22" s="5">
        <v>0</v>
      </c>
      <c r="G22" s="5">
        <v>33500</v>
      </c>
      <c r="H22" s="5">
        <v>1888</v>
      </c>
      <c r="I22" s="5">
        <v>25422.83</v>
      </c>
      <c r="J22" s="5">
        <v>0</v>
      </c>
      <c r="K22" s="5">
        <v>0</v>
      </c>
      <c r="L22" s="5">
        <f t="shared" si="7"/>
        <v>439918.10000000003</v>
      </c>
      <c r="M22" s="5">
        <v>0</v>
      </c>
      <c r="N22" s="5">
        <v>0</v>
      </c>
      <c r="O22" s="5">
        <v>0</v>
      </c>
    </row>
    <row r="23" spans="1:15" x14ac:dyDescent="0.2">
      <c r="A23" s="2">
        <v>21</v>
      </c>
      <c r="B23" s="5">
        <v>226119.23</v>
      </c>
      <c r="C23" s="5">
        <v>49810.84</v>
      </c>
      <c r="D23" s="5">
        <f>210522.35+654.95</f>
        <v>211177.30000000002</v>
      </c>
      <c r="E23" s="5">
        <v>135.5</v>
      </c>
      <c r="F23" s="5">
        <v>0</v>
      </c>
      <c r="G23" s="5">
        <v>34110</v>
      </c>
      <c r="H23" s="5">
        <v>1980</v>
      </c>
      <c r="I23" s="5">
        <v>28547.85</v>
      </c>
      <c r="J23" s="5">
        <v>25</v>
      </c>
      <c r="K23" s="5">
        <v>44758.76</v>
      </c>
      <c r="L23" s="5">
        <f t="shared" si="7"/>
        <v>596664.48</v>
      </c>
      <c r="M23" s="5">
        <v>1283.8599999999999</v>
      </c>
      <c r="N23" s="5">
        <v>0</v>
      </c>
      <c r="O23" s="5">
        <v>0</v>
      </c>
    </row>
    <row r="24" spans="1:15" x14ac:dyDescent="0.2">
      <c r="A24" s="2">
        <v>22</v>
      </c>
      <c r="B24" s="5">
        <v>51224.51</v>
      </c>
      <c r="C24" s="5">
        <v>35992.519999999997</v>
      </c>
      <c r="D24" s="5">
        <v>0</v>
      </c>
      <c r="E24" s="5">
        <v>125</v>
      </c>
      <c r="F24" s="5">
        <v>0</v>
      </c>
      <c r="G24" s="5">
        <v>100</v>
      </c>
      <c r="H24" s="5">
        <v>1329</v>
      </c>
      <c r="I24" s="5">
        <v>17843</v>
      </c>
      <c r="J24" s="5">
        <v>0</v>
      </c>
      <c r="K24" s="5">
        <v>0</v>
      </c>
      <c r="L24" s="5">
        <f t="shared" si="7"/>
        <v>106614.03</v>
      </c>
      <c r="M24" s="5">
        <v>0</v>
      </c>
      <c r="N24" s="5">
        <v>0</v>
      </c>
      <c r="O24" s="5">
        <v>0</v>
      </c>
    </row>
    <row r="25" spans="1:15" x14ac:dyDescent="0.2">
      <c r="A25" s="3" t="s">
        <v>8</v>
      </c>
      <c r="B25" s="10">
        <f t="shared" ref="B25:K25" si="8">SUM(B20:B24)</f>
        <v>654496.31000000006</v>
      </c>
      <c r="C25" s="10">
        <f t="shared" si="8"/>
        <v>198111.25999999998</v>
      </c>
      <c r="D25" s="10">
        <f t="shared" si="8"/>
        <v>211422.30000000002</v>
      </c>
      <c r="E25" s="10">
        <f t="shared" si="8"/>
        <v>619.5</v>
      </c>
      <c r="F25" s="10">
        <f t="shared" si="8"/>
        <v>0</v>
      </c>
      <c r="G25" s="10">
        <f t="shared" si="8"/>
        <v>76615</v>
      </c>
      <c r="H25" s="10">
        <f t="shared" si="8"/>
        <v>16725.239999999998</v>
      </c>
      <c r="I25" s="10">
        <f t="shared" si="8"/>
        <v>172985.77</v>
      </c>
      <c r="J25" s="10">
        <f t="shared" si="8"/>
        <v>175</v>
      </c>
      <c r="K25" s="10">
        <f t="shared" si="8"/>
        <v>44758.76</v>
      </c>
      <c r="L25" s="10">
        <f>SUM(L20:L24)</f>
        <v>1375909.14</v>
      </c>
      <c r="M25" s="10">
        <f t="shared" ref="M25" si="9">SUM(M20:M24)</f>
        <v>17883.86</v>
      </c>
      <c r="N25" s="10">
        <f>SUM(N20:N24)</f>
        <v>0</v>
      </c>
      <c r="O25" s="10">
        <f>SUM(O20:O24)</f>
        <v>0</v>
      </c>
    </row>
    <row r="26" spans="1: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>
        <v>25</v>
      </c>
      <c r="B27" s="5">
        <v>0</v>
      </c>
      <c r="C27" s="5">
        <v>0</v>
      </c>
      <c r="D27" s="5">
        <v>30</v>
      </c>
      <c r="E27" s="5">
        <v>82</v>
      </c>
      <c r="F27" s="5">
        <v>0</v>
      </c>
      <c r="G27" s="5">
        <v>250</v>
      </c>
      <c r="H27" s="5">
        <v>3268.8</v>
      </c>
      <c r="I27" s="5">
        <v>51252.09</v>
      </c>
      <c r="J27" s="5">
        <v>128</v>
      </c>
      <c r="K27" s="5">
        <v>0</v>
      </c>
      <c r="L27" s="5">
        <f t="shared" ref="L27:L31" si="10">SUM(B27:K27)</f>
        <v>55010.89</v>
      </c>
      <c r="M27" s="5">
        <v>0</v>
      </c>
      <c r="N27" s="5">
        <v>0</v>
      </c>
      <c r="O27" s="5">
        <v>0</v>
      </c>
    </row>
    <row r="28" spans="1:15" x14ac:dyDescent="0.2">
      <c r="A28" s="2">
        <v>26</v>
      </c>
      <c r="B28" s="5">
        <v>65223</v>
      </c>
      <c r="C28" s="5">
        <v>66068.05</v>
      </c>
      <c r="D28" s="5">
        <v>30</v>
      </c>
      <c r="E28" s="5">
        <v>20</v>
      </c>
      <c r="F28" s="5">
        <v>38400</v>
      </c>
      <c r="G28" s="5">
        <v>50</v>
      </c>
      <c r="H28" s="5">
        <v>995</v>
      </c>
      <c r="I28" s="5">
        <v>19720</v>
      </c>
      <c r="J28" s="5">
        <v>10</v>
      </c>
      <c r="K28" s="5">
        <v>0</v>
      </c>
      <c r="L28" s="5">
        <f t="shared" si="10"/>
        <v>190516.05</v>
      </c>
      <c r="M28" s="5">
        <v>0</v>
      </c>
      <c r="N28" s="5">
        <v>0</v>
      </c>
      <c r="O28" s="5">
        <v>0</v>
      </c>
    </row>
    <row r="29" spans="1:15" x14ac:dyDescent="0.2">
      <c r="A29" s="2">
        <v>27</v>
      </c>
      <c r="B29" s="5">
        <v>5000</v>
      </c>
      <c r="C29" s="5">
        <v>18465.099999999999</v>
      </c>
      <c r="D29" s="5">
        <v>60</v>
      </c>
      <c r="E29" s="5">
        <v>38</v>
      </c>
      <c r="F29" s="5">
        <v>0</v>
      </c>
      <c r="G29" s="5">
        <f>12730</f>
        <v>12730</v>
      </c>
      <c r="H29" s="5">
        <v>2063</v>
      </c>
      <c r="I29" s="5">
        <v>18739.91</v>
      </c>
      <c r="J29" s="5">
        <v>10</v>
      </c>
      <c r="K29" s="5">
        <v>0</v>
      </c>
      <c r="L29" s="5">
        <f t="shared" si="10"/>
        <v>57106.009999999995</v>
      </c>
      <c r="M29" s="5">
        <v>0</v>
      </c>
      <c r="N29" s="5">
        <v>0</v>
      </c>
      <c r="O29" s="5">
        <v>0</v>
      </c>
    </row>
    <row r="30" spans="1:15" x14ac:dyDescent="0.2">
      <c r="A30" s="2">
        <v>28</v>
      </c>
      <c r="B30" s="5">
        <f>74201.79-100</f>
        <v>74101.789999999994</v>
      </c>
      <c r="C30" s="5">
        <v>29559.360000000001</v>
      </c>
      <c r="D30" s="5">
        <v>30</v>
      </c>
      <c r="E30" s="5">
        <f>39-60</f>
        <v>-21</v>
      </c>
      <c r="F30" s="5">
        <v>-41263.599999999999</v>
      </c>
      <c r="G30" s="5">
        <f>410-33400</f>
        <v>-32990</v>
      </c>
      <c r="H30" s="5">
        <v>808</v>
      </c>
      <c r="I30" s="5">
        <v>22566.49</v>
      </c>
      <c r="J30" s="5">
        <v>35</v>
      </c>
      <c r="K30" s="5">
        <v>39075.760000000002</v>
      </c>
      <c r="L30" s="5">
        <f t="shared" si="10"/>
        <v>91901.799999999988</v>
      </c>
      <c r="M30" s="5">
        <v>74823.600000000006</v>
      </c>
      <c r="N30" s="5">
        <v>0</v>
      </c>
      <c r="O30" s="5">
        <v>0</v>
      </c>
    </row>
    <row r="31" spans="1:15" x14ac:dyDescent="0.2">
      <c r="A31" s="2">
        <v>29</v>
      </c>
      <c r="B31" s="5">
        <v>292332.06</v>
      </c>
      <c r="C31" s="5">
        <v>45581.06</v>
      </c>
      <c r="D31" s="5">
        <v>230</v>
      </c>
      <c r="E31" s="5">
        <v>197.5</v>
      </c>
      <c r="F31" s="5">
        <v>0</v>
      </c>
      <c r="G31" s="5">
        <v>700</v>
      </c>
      <c r="H31" s="5">
        <v>3898</v>
      </c>
      <c r="I31" s="5">
        <v>92992.66</v>
      </c>
      <c r="J31" s="5">
        <v>90</v>
      </c>
      <c r="K31" s="5">
        <v>0</v>
      </c>
      <c r="L31" s="5">
        <f t="shared" si="10"/>
        <v>436021.28</v>
      </c>
      <c r="M31" s="5">
        <v>0</v>
      </c>
      <c r="N31" s="5">
        <v>0</v>
      </c>
      <c r="O31" s="5">
        <v>0</v>
      </c>
    </row>
    <row r="32" spans="1:15" x14ac:dyDescent="0.2">
      <c r="A32" s="3" t="s">
        <v>8</v>
      </c>
      <c r="B32" s="10">
        <f t="shared" ref="B32:K32" si="11">SUM(B27:B31)</f>
        <v>436656.85</v>
      </c>
      <c r="C32" s="10">
        <f t="shared" si="11"/>
        <v>159673.57</v>
      </c>
      <c r="D32" s="10">
        <f t="shared" si="11"/>
        <v>380</v>
      </c>
      <c r="E32" s="10">
        <f t="shared" si="11"/>
        <v>316.5</v>
      </c>
      <c r="F32" s="10">
        <f t="shared" si="11"/>
        <v>-2863.5999999999985</v>
      </c>
      <c r="G32" s="10">
        <f t="shared" si="11"/>
        <v>-19260</v>
      </c>
      <c r="H32" s="10">
        <f t="shared" si="11"/>
        <v>11032.8</v>
      </c>
      <c r="I32" s="10">
        <f t="shared" si="11"/>
        <v>205271.15000000002</v>
      </c>
      <c r="J32" s="10">
        <f t="shared" si="11"/>
        <v>273</v>
      </c>
      <c r="K32" s="10">
        <f t="shared" si="11"/>
        <v>39075.760000000002</v>
      </c>
      <c r="L32" s="10">
        <f>SUM(L27:L31)</f>
        <v>830556.03</v>
      </c>
      <c r="M32" s="10">
        <f t="shared" ref="M32" si="12">SUM(M27:M31)</f>
        <v>74823.600000000006</v>
      </c>
      <c r="N32" s="10">
        <f>SUM(N27:N30)</f>
        <v>0</v>
      </c>
      <c r="O32" s="10">
        <f>SUM(O27:O30)</f>
        <v>0</v>
      </c>
    </row>
    <row r="33" spans="1:1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5"/>
      <c r="O33" s="5"/>
    </row>
    <row r="34" spans="1:16" x14ac:dyDescent="0.2">
      <c r="A34" s="2">
        <v>31</v>
      </c>
      <c r="B34" s="5">
        <v>0</v>
      </c>
      <c r="C34" s="5">
        <v>0</v>
      </c>
      <c r="D34" s="5">
        <v>10</v>
      </c>
      <c r="E34" s="5">
        <v>1283</v>
      </c>
      <c r="F34" s="5">
        <v>0</v>
      </c>
      <c r="G34" s="5">
        <v>250</v>
      </c>
      <c r="H34" s="5">
        <v>4488</v>
      </c>
      <c r="I34" s="5">
        <v>89088.77</v>
      </c>
      <c r="J34" s="5">
        <v>25</v>
      </c>
      <c r="K34" s="5">
        <v>0</v>
      </c>
      <c r="L34" s="5">
        <f t="shared" ref="L34:L38" si="13">SUM(B34:K34)</f>
        <v>95144.77</v>
      </c>
      <c r="M34" s="5">
        <v>0</v>
      </c>
      <c r="N34" s="5">
        <v>0</v>
      </c>
      <c r="O34" s="5">
        <v>0</v>
      </c>
    </row>
    <row r="35" spans="1:16" x14ac:dyDescent="0.2">
      <c r="A35" s="2"/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f t="shared" si="13"/>
        <v>0</v>
      </c>
      <c r="M35" s="5">
        <v>0</v>
      </c>
      <c r="N35" s="5">
        <v>0</v>
      </c>
      <c r="O35" s="5">
        <v>0</v>
      </c>
    </row>
    <row r="36" spans="1:16" x14ac:dyDescent="0.2">
      <c r="A36" s="2"/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f t="shared" si="13"/>
        <v>0</v>
      </c>
      <c r="M36" s="5">
        <v>0</v>
      </c>
      <c r="N36" s="5">
        <v>0</v>
      </c>
      <c r="O36" s="5">
        <v>0</v>
      </c>
    </row>
    <row r="37" spans="1:16" x14ac:dyDescent="0.2">
      <c r="A37" s="2"/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f t="shared" si="13"/>
        <v>0</v>
      </c>
      <c r="M37" s="5">
        <v>0</v>
      </c>
      <c r="N37" s="5">
        <v>0</v>
      </c>
      <c r="O37" s="5">
        <v>0</v>
      </c>
    </row>
    <row r="38" spans="1:16" x14ac:dyDescent="0.2">
      <c r="A38" s="2"/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f t="shared" si="13"/>
        <v>0</v>
      </c>
      <c r="M38" s="5">
        <v>0</v>
      </c>
      <c r="N38" s="5">
        <v>0</v>
      </c>
      <c r="O38" s="5">
        <v>0</v>
      </c>
    </row>
    <row r="39" spans="1:16" x14ac:dyDescent="0.2">
      <c r="A39" s="3" t="s">
        <v>8</v>
      </c>
      <c r="B39" s="10">
        <f t="shared" ref="B39:K39" si="14">SUM(B34:B38)</f>
        <v>0</v>
      </c>
      <c r="C39" s="10">
        <f t="shared" si="14"/>
        <v>0</v>
      </c>
      <c r="D39" s="10">
        <f t="shared" si="14"/>
        <v>10</v>
      </c>
      <c r="E39" s="10">
        <f t="shared" si="14"/>
        <v>1283</v>
      </c>
      <c r="F39" s="10">
        <f t="shared" si="14"/>
        <v>0</v>
      </c>
      <c r="G39" s="10">
        <f t="shared" si="14"/>
        <v>250</v>
      </c>
      <c r="H39" s="10">
        <f t="shared" si="14"/>
        <v>4488</v>
      </c>
      <c r="I39" s="10">
        <f t="shared" si="14"/>
        <v>89088.77</v>
      </c>
      <c r="J39" s="10">
        <f t="shared" si="14"/>
        <v>25</v>
      </c>
      <c r="K39" s="10">
        <f t="shared" si="14"/>
        <v>0</v>
      </c>
      <c r="L39" s="10">
        <f>SUM(L34:L38)</f>
        <v>95144.77</v>
      </c>
      <c r="M39" s="10">
        <f t="shared" ref="M39" si="15">SUM(M34:M38)</f>
        <v>0</v>
      </c>
      <c r="N39" s="10">
        <f>SUM(N33:N37)</f>
        <v>0</v>
      </c>
      <c r="O39" s="10">
        <f>SUM(O33:O36)</f>
        <v>0</v>
      </c>
    </row>
    <row r="40" spans="1:1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6"/>
      <c r="O40" s="6"/>
    </row>
    <row r="41" spans="1:16" x14ac:dyDescent="0.2">
      <c r="A41" s="2" t="s">
        <v>9</v>
      </c>
      <c r="B41" s="29">
        <v>100</v>
      </c>
      <c r="C41" s="29">
        <v>0</v>
      </c>
      <c r="D41" s="29">
        <v>0</v>
      </c>
      <c r="E41" s="29">
        <v>60</v>
      </c>
      <c r="F41" s="29">
        <v>0</v>
      </c>
      <c r="G41" s="29">
        <f>21600+74663.6</f>
        <v>96263.6</v>
      </c>
      <c r="H41" s="29">
        <v>0</v>
      </c>
      <c r="I41" s="29">
        <v>0</v>
      </c>
      <c r="J41" s="29">
        <v>0</v>
      </c>
      <c r="K41" s="29">
        <v>0</v>
      </c>
      <c r="L41" s="5">
        <f t="shared" ref="L41:L42" si="16">SUM(B41:K41)</f>
        <v>96423.6</v>
      </c>
      <c r="M41" s="29">
        <v>0</v>
      </c>
      <c r="N41" s="29">
        <v>0</v>
      </c>
      <c r="O41" s="29">
        <v>0</v>
      </c>
    </row>
    <row r="42" spans="1:16" x14ac:dyDescent="0.2">
      <c r="A42" s="2" t="s">
        <v>10</v>
      </c>
      <c r="B42" s="29">
        <f>-325-35-3205</f>
        <v>-3565</v>
      </c>
      <c r="C42" s="29">
        <f>-53-16600-25-55</f>
        <v>-16733</v>
      </c>
      <c r="D42" s="29">
        <f>-20-7-20-120</f>
        <v>-167</v>
      </c>
      <c r="E42" s="29">
        <v>0</v>
      </c>
      <c r="F42" s="29">
        <v>0</v>
      </c>
      <c r="G42" s="29">
        <f>-75-8500</f>
        <v>-8575</v>
      </c>
      <c r="H42" s="29">
        <v>0</v>
      </c>
      <c r="I42" s="29">
        <f>-3950-3595-30000-310-14995</f>
        <v>-52850</v>
      </c>
      <c r="J42" s="29">
        <v>-490</v>
      </c>
      <c r="K42" s="29">
        <v>0</v>
      </c>
      <c r="L42" s="5">
        <f t="shared" si="16"/>
        <v>-82380</v>
      </c>
      <c r="M42" s="29">
        <f>-21600-74823.6</f>
        <v>-96423.6</v>
      </c>
      <c r="N42" s="29">
        <v>0</v>
      </c>
      <c r="O42" s="29">
        <v>0</v>
      </c>
    </row>
    <row r="43" spans="1:16" x14ac:dyDescent="0.2">
      <c r="A43" s="2"/>
      <c r="B43" s="2"/>
      <c r="C43" s="2"/>
      <c r="D43" s="2"/>
      <c r="E43" s="2"/>
      <c r="F43" s="2"/>
      <c r="G43" s="2"/>
      <c r="H43" s="2"/>
      <c r="I43" s="2"/>
      <c r="K43" s="25"/>
    </row>
    <row r="44" spans="1:16" x14ac:dyDescent="0.2">
      <c r="A44" s="3" t="s">
        <v>6</v>
      </c>
      <c r="B44" s="10">
        <f>+B11+B18+B25+B32+B39+B41+B42</f>
        <v>1658428.2600000002</v>
      </c>
      <c r="C44" s="10">
        <f t="shared" ref="C44:I44" si="17">+C11+C18+C25+C32+C39+C41+C42</f>
        <v>518376.04000000004</v>
      </c>
      <c r="D44" s="10">
        <f t="shared" si="17"/>
        <v>212266.30000000002</v>
      </c>
      <c r="E44" s="10">
        <f t="shared" si="17"/>
        <v>10184.5</v>
      </c>
      <c r="F44" s="10">
        <f t="shared" si="17"/>
        <v>1707355.5999999999</v>
      </c>
      <c r="G44" s="10">
        <f t="shared" si="17"/>
        <v>373445.6</v>
      </c>
      <c r="H44" s="10">
        <f t="shared" si="17"/>
        <v>64180.399999999994</v>
      </c>
      <c r="I44" s="10">
        <f t="shared" si="17"/>
        <v>934164.58000000007</v>
      </c>
      <c r="J44" s="10">
        <f t="shared" ref="J44:L44" si="18">+J39+J32+J25+J18+J11+J41+J42</f>
        <v>1650.5</v>
      </c>
      <c r="K44" s="10">
        <f t="shared" si="18"/>
        <v>83834.52</v>
      </c>
      <c r="L44" s="10">
        <f t="shared" si="18"/>
        <v>5563886.2999999989</v>
      </c>
      <c r="M44" s="10">
        <f t="shared" ref="M44:O44" si="19">+M39+M32+M25+M18+M11+M41+M42</f>
        <v>163629.86000000002</v>
      </c>
      <c r="N44" s="10">
        <f t="shared" si="19"/>
        <v>100200</v>
      </c>
      <c r="O44" s="10">
        <f t="shared" si="19"/>
        <v>0</v>
      </c>
    </row>
    <row r="45" spans="1:16" x14ac:dyDescent="0.2">
      <c r="B45" s="1"/>
      <c r="C45" s="1"/>
      <c r="D45" s="1"/>
      <c r="E45" s="1"/>
      <c r="F45" s="1"/>
      <c r="G45" s="1"/>
      <c r="H45" s="1"/>
      <c r="I45" s="2"/>
    </row>
    <row r="46" spans="1:16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1:16" x14ac:dyDescent="0.2">
      <c r="A47" s="11" t="s">
        <v>21</v>
      </c>
      <c r="B47" s="9"/>
      <c r="C47" s="9"/>
      <c r="D47" s="2"/>
      <c r="E47" s="2"/>
      <c r="F47" s="11" t="s">
        <v>0</v>
      </c>
      <c r="G47" s="2"/>
      <c r="H47" s="2"/>
      <c r="I47" s="2"/>
      <c r="P47"/>
    </row>
    <row r="48" spans="1:16" x14ac:dyDescent="0.2">
      <c r="A48" s="9"/>
      <c r="B48" s="9"/>
      <c r="C48" s="9"/>
      <c r="D48" s="2"/>
      <c r="E48" s="2"/>
      <c r="F48" s="11" t="s">
        <v>1</v>
      </c>
      <c r="G48" s="2"/>
      <c r="H48" s="2"/>
      <c r="I48" s="2"/>
      <c r="P48"/>
    </row>
    <row r="49" spans="1:16" x14ac:dyDescent="0.2">
      <c r="A49" s="2"/>
      <c r="B49" s="2"/>
      <c r="C49" s="2"/>
      <c r="D49" s="2"/>
      <c r="E49" s="2"/>
      <c r="F49" s="2"/>
      <c r="G49" s="2"/>
      <c r="H49" s="2"/>
      <c r="I49" s="2"/>
      <c r="P49"/>
    </row>
    <row r="50" spans="1:16" x14ac:dyDescent="0.2">
      <c r="A50" s="4"/>
      <c r="B50" s="11" t="s">
        <v>2</v>
      </c>
      <c r="C50" s="11" t="s">
        <v>38</v>
      </c>
      <c r="D50" s="11" t="s">
        <v>44</v>
      </c>
      <c r="E50" s="11" t="s">
        <v>41</v>
      </c>
      <c r="F50" s="11" t="s">
        <v>4</v>
      </c>
      <c r="G50" s="11" t="s">
        <v>36</v>
      </c>
      <c r="H50" s="11" t="s">
        <v>3</v>
      </c>
      <c r="I50" s="11" t="s">
        <v>40</v>
      </c>
      <c r="J50" s="11" t="s">
        <v>45</v>
      </c>
      <c r="K50" s="11" t="s">
        <v>5</v>
      </c>
      <c r="L50" s="11" t="s">
        <v>6</v>
      </c>
      <c r="M50" s="11" t="s">
        <v>46</v>
      </c>
      <c r="N50" s="11" t="s">
        <v>48</v>
      </c>
      <c r="O50" s="11" t="s">
        <v>49</v>
      </c>
      <c r="P50"/>
    </row>
    <row r="51" spans="1:16" x14ac:dyDescent="0.2">
      <c r="A51" s="2"/>
      <c r="B51" s="2"/>
      <c r="C51" s="2"/>
      <c r="D51" s="2"/>
      <c r="F51" s="2"/>
      <c r="G51" s="2"/>
      <c r="H51" s="2"/>
      <c r="J51" s="2"/>
      <c r="K51" s="2"/>
      <c r="L51" s="2"/>
      <c r="M51" s="2"/>
      <c r="N51" s="2"/>
      <c r="O51" s="2"/>
      <c r="P51"/>
    </row>
    <row r="52" spans="1:16" x14ac:dyDescent="0.2">
      <c r="A52" s="2">
        <v>1</v>
      </c>
      <c r="B52" s="5">
        <v>5000</v>
      </c>
      <c r="C52" s="5">
        <v>61527.26</v>
      </c>
      <c r="D52" s="5">
        <v>0</v>
      </c>
      <c r="E52" s="5">
        <v>0</v>
      </c>
      <c r="F52" s="5">
        <v>1500000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f>SUM(B52:K52)</f>
        <v>1566527.26</v>
      </c>
      <c r="M52" s="5">
        <v>0</v>
      </c>
      <c r="N52" s="5">
        <v>0</v>
      </c>
      <c r="O52" s="5">
        <v>0</v>
      </c>
      <c r="P52"/>
    </row>
    <row r="53" spans="1:16" x14ac:dyDescent="0.2">
      <c r="A53" s="2">
        <v>2</v>
      </c>
      <c r="B53" s="5">
        <v>124935.79</v>
      </c>
      <c r="C53" s="5">
        <f>62088.76-50</f>
        <v>62038.76</v>
      </c>
      <c r="D53" s="5">
        <v>25</v>
      </c>
      <c r="E53" s="5">
        <v>452</v>
      </c>
      <c r="F53" s="5">
        <v>30719.07</v>
      </c>
      <c r="G53" s="5">
        <v>17300</v>
      </c>
      <c r="H53" s="5">
        <v>3370</v>
      </c>
      <c r="I53" s="5">
        <v>39922.81</v>
      </c>
      <c r="J53" s="5">
        <v>25</v>
      </c>
      <c r="K53" s="5">
        <v>0</v>
      </c>
      <c r="L53" s="5">
        <f t="shared" ref="L53:L56" si="20">SUM(B53:K53)</f>
        <v>278788.43</v>
      </c>
      <c r="M53" s="5">
        <v>90000</v>
      </c>
      <c r="N53" s="5">
        <v>0</v>
      </c>
      <c r="O53" s="5">
        <v>0</v>
      </c>
      <c r="P53"/>
    </row>
    <row r="54" spans="1:16" x14ac:dyDescent="0.2">
      <c r="A54" s="2">
        <v>3</v>
      </c>
      <c r="B54" s="5">
        <v>157178.68</v>
      </c>
      <c r="C54" s="5">
        <v>54445.1</v>
      </c>
      <c r="D54" s="5">
        <v>0</v>
      </c>
      <c r="E54" s="5">
        <v>191.5</v>
      </c>
      <c r="F54" s="5">
        <v>78400</v>
      </c>
      <c r="G54" s="5">
        <v>1410</v>
      </c>
      <c r="H54" s="5">
        <v>1590</v>
      </c>
      <c r="I54" s="5">
        <v>28324.240000000002</v>
      </c>
      <c r="J54" s="5">
        <v>0</v>
      </c>
      <c r="K54" s="5">
        <v>181.04</v>
      </c>
      <c r="L54" s="5">
        <f t="shared" si="20"/>
        <v>321720.56</v>
      </c>
      <c r="M54" s="5">
        <f>66600+15000</f>
        <v>81600</v>
      </c>
      <c r="N54" s="5">
        <v>0</v>
      </c>
      <c r="O54" s="5">
        <v>0</v>
      </c>
      <c r="P54"/>
    </row>
    <row r="55" spans="1:16" x14ac:dyDescent="0.2">
      <c r="A55" s="7">
        <v>4</v>
      </c>
      <c r="B55" s="5">
        <v>69636</v>
      </c>
      <c r="C55" s="5">
        <v>30527.66</v>
      </c>
      <c r="D55" s="5">
        <v>100</v>
      </c>
      <c r="E55" s="5">
        <v>250</v>
      </c>
      <c r="F55" s="5">
        <v>0</v>
      </c>
      <c r="G55" s="5">
        <v>6650</v>
      </c>
      <c r="H55" s="5">
        <v>1065</v>
      </c>
      <c r="I55" s="5">
        <v>17940.77</v>
      </c>
      <c r="J55" s="5">
        <v>0</v>
      </c>
      <c r="K55" s="5">
        <v>0</v>
      </c>
      <c r="L55" s="5">
        <f t="shared" si="20"/>
        <v>126169.43000000001</v>
      </c>
      <c r="M55" s="5">
        <v>0</v>
      </c>
      <c r="N55" s="5">
        <v>0</v>
      </c>
      <c r="O55" s="5">
        <v>0</v>
      </c>
      <c r="P55"/>
    </row>
    <row r="56" spans="1:16" x14ac:dyDescent="0.2">
      <c r="A56" s="7">
        <v>5</v>
      </c>
      <c r="B56" s="5">
        <v>94335.58</v>
      </c>
      <c r="C56" s="5">
        <v>22897.200000000001</v>
      </c>
      <c r="D56" s="5">
        <v>60</v>
      </c>
      <c r="E56" s="5">
        <v>32</v>
      </c>
      <c r="F56" s="5">
        <v>0</v>
      </c>
      <c r="G56" s="5">
        <v>10400</v>
      </c>
      <c r="H56" s="5">
        <v>891</v>
      </c>
      <c r="I56" s="5">
        <v>13439.28</v>
      </c>
      <c r="J56" s="5">
        <v>13770</v>
      </c>
      <c r="K56" s="5">
        <v>0</v>
      </c>
      <c r="L56" s="5">
        <f t="shared" si="20"/>
        <v>155825.06</v>
      </c>
      <c r="M56" s="5">
        <v>0</v>
      </c>
      <c r="N56" s="5">
        <v>0</v>
      </c>
      <c r="O56" s="5">
        <v>0</v>
      </c>
      <c r="P56"/>
    </row>
    <row r="57" spans="1:16" x14ac:dyDescent="0.2">
      <c r="A57" s="3" t="s">
        <v>8</v>
      </c>
      <c r="B57" s="10">
        <f t="shared" ref="B57:K57" si="21">SUM(B52:B56)</f>
        <v>451086.05</v>
      </c>
      <c r="C57" s="10">
        <f t="shared" si="21"/>
        <v>231435.98</v>
      </c>
      <c r="D57" s="10">
        <f t="shared" si="21"/>
        <v>185</v>
      </c>
      <c r="E57" s="10">
        <f t="shared" si="21"/>
        <v>925.5</v>
      </c>
      <c r="F57" s="10">
        <f t="shared" si="21"/>
        <v>1609119.07</v>
      </c>
      <c r="G57" s="10">
        <f t="shared" si="21"/>
        <v>35760</v>
      </c>
      <c r="H57" s="10">
        <f t="shared" si="21"/>
        <v>6916</v>
      </c>
      <c r="I57" s="10">
        <f t="shared" si="21"/>
        <v>99627.1</v>
      </c>
      <c r="J57" s="10">
        <f t="shared" si="21"/>
        <v>13795</v>
      </c>
      <c r="K57" s="10">
        <f t="shared" si="21"/>
        <v>181.04</v>
      </c>
      <c r="L57" s="10">
        <f>SUM(L52:L56)</f>
        <v>2449030.7400000002</v>
      </c>
      <c r="M57" s="10">
        <f t="shared" ref="M57" si="22">SUM(M52:M56)</f>
        <v>171600</v>
      </c>
      <c r="N57" s="10">
        <f>SUM(N53:N56)</f>
        <v>0</v>
      </c>
      <c r="O57" s="10">
        <f>SUM(O53:O56)</f>
        <v>0</v>
      </c>
      <c r="P57"/>
    </row>
    <row r="58" spans="1:1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/>
    </row>
    <row r="59" spans="1:16" x14ac:dyDescent="0.2">
      <c r="A59" s="7">
        <v>8</v>
      </c>
      <c r="B59" s="5">
        <v>152981.56</v>
      </c>
      <c r="C59" s="5">
        <v>41838.42</v>
      </c>
      <c r="D59" s="5">
        <v>186</v>
      </c>
      <c r="E59" s="5">
        <v>355</v>
      </c>
      <c r="F59" s="5">
        <v>0</v>
      </c>
      <c r="G59" s="5">
        <v>59200</v>
      </c>
      <c r="H59" s="5">
        <v>3248</v>
      </c>
      <c r="I59" s="5">
        <v>48261.79</v>
      </c>
      <c r="J59" s="5">
        <v>122.5</v>
      </c>
      <c r="K59" s="5">
        <v>0</v>
      </c>
      <c r="L59" s="5">
        <f t="shared" ref="L59:L63" si="23">SUM(B59:K59)</f>
        <v>306193.26999999996</v>
      </c>
      <c r="M59" s="5">
        <v>0</v>
      </c>
      <c r="N59" s="5">
        <v>0</v>
      </c>
      <c r="O59" s="5">
        <v>0</v>
      </c>
      <c r="P59"/>
    </row>
    <row r="60" spans="1:16" x14ac:dyDescent="0.2">
      <c r="A60" s="7">
        <v>9</v>
      </c>
      <c r="B60" s="5">
        <v>143692.60999999999</v>
      </c>
      <c r="C60" s="5">
        <v>55807.8</v>
      </c>
      <c r="D60" s="5">
        <v>30</v>
      </c>
      <c r="E60" s="5">
        <v>120</v>
      </c>
      <c r="F60" s="5">
        <v>0</v>
      </c>
      <c r="G60" s="5">
        <v>11760</v>
      </c>
      <c r="H60" s="5">
        <v>832</v>
      </c>
      <c r="I60" s="5">
        <v>14462.61</v>
      </c>
      <c r="J60" s="5">
        <v>0</v>
      </c>
      <c r="K60" s="5">
        <v>0</v>
      </c>
      <c r="L60" s="5">
        <f t="shared" si="23"/>
        <v>226705.01999999996</v>
      </c>
      <c r="M60" s="5">
        <v>99.13</v>
      </c>
      <c r="N60" s="5">
        <v>0</v>
      </c>
      <c r="O60" s="5">
        <v>0</v>
      </c>
      <c r="P60"/>
    </row>
    <row r="61" spans="1:16" x14ac:dyDescent="0.2">
      <c r="A61" s="7">
        <v>10</v>
      </c>
      <c r="B61" s="5">
        <v>114573.9</v>
      </c>
      <c r="C61" s="5">
        <v>32429.279999999999</v>
      </c>
      <c r="D61" s="5">
        <v>15</v>
      </c>
      <c r="E61" s="5">
        <v>387</v>
      </c>
      <c r="F61" s="5">
        <v>15000</v>
      </c>
      <c r="G61" s="5">
        <v>-9000</v>
      </c>
      <c r="H61" s="5">
        <v>2658</v>
      </c>
      <c r="I61" s="5">
        <v>19094.8</v>
      </c>
      <c r="J61" s="5">
        <v>30</v>
      </c>
      <c r="K61" s="5">
        <v>0</v>
      </c>
      <c r="L61" s="5">
        <f t="shared" si="23"/>
        <v>175187.97999999998</v>
      </c>
      <c r="M61" s="5">
        <v>0</v>
      </c>
      <c r="N61" s="5">
        <v>0</v>
      </c>
      <c r="O61" s="5">
        <v>0</v>
      </c>
      <c r="P61"/>
    </row>
    <row r="62" spans="1:16" x14ac:dyDescent="0.2">
      <c r="A62" s="7">
        <v>11</v>
      </c>
      <c r="B62" s="5">
        <v>105817.5</v>
      </c>
      <c r="C62" s="5">
        <v>37025.99</v>
      </c>
      <c r="D62" s="5">
        <v>30</v>
      </c>
      <c r="E62" s="5">
        <v>282</v>
      </c>
      <c r="F62" s="5">
        <v>0</v>
      </c>
      <c r="G62" s="5">
        <v>550</v>
      </c>
      <c r="H62" s="5">
        <v>1640</v>
      </c>
      <c r="I62" s="5">
        <v>19324.330000000002</v>
      </c>
      <c r="J62" s="5">
        <v>522</v>
      </c>
      <c r="K62" s="5">
        <v>0</v>
      </c>
      <c r="L62" s="5">
        <f t="shared" si="23"/>
        <v>165191.82</v>
      </c>
      <c r="M62" s="5">
        <v>0</v>
      </c>
      <c r="N62" s="5">
        <v>0</v>
      </c>
      <c r="O62" s="5">
        <v>0</v>
      </c>
      <c r="P62"/>
    </row>
    <row r="63" spans="1:16" x14ac:dyDescent="0.2">
      <c r="A63" s="8">
        <v>12</v>
      </c>
      <c r="B63" s="5">
        <v>52584.12</v>
      </c>
      <c r="C63" s="5">
        <v>34640.17</v>
      </c>
      <c r="D63" s="5">
        <v>20</v>
      </c>
      <c r="E63" s="5">
        <v>169</v>
      </c>
      <c r="F63" s="5">
        <v>0</v>
      </c>
      <c r="G63" s="5">
        <v>1300</v>
      </c>
      <c r="H63" s="5">
        <v>1602</v>
      </c>
      <c r="I63" s="5">
        <v>26779.27</v>
      </c>
      <c r="J63" s="5">
        <v>0</v>
      </c>
      <c r="K63" s="5">
        <v>0</v>
      </c>
      <c r="L63" s="5">
        <f t="shared" si="23"/>
        <v>117094.56000000001</v>
      </c>
      <c r="M63" s="5">
        <v>0</v>
      </c>
      <c r="N63" s="5">
        <v>0</v>
      </c>
      <c r="O63" s="5">
        <v>0</v>
      </c>
      <c r="P63"/>
    </row>
    <row r="64" spans="1:16" x14ac:dyDescent="0.2">
      <c r="A64" s="3" t="s">
        <v>8</v>
      </c>
      <c r="B64" s="10">
        <f t="shared" ref="B64:K64" si="24">SUM(B59:B63)</f>
        <v>569649.68999999994</v>
      </c>
      <c r="C64" s="10">
        <f t="shared" si="24"/>
        <v>201741.65999999997</v>
      </c>
      <c r="D64" s="10">
        <f t="shared" si="24"/>
        <v>281</v>
      </c>
      <c r="E64" s="10">
        <f t="shared" si="24"/>
        <v>1313</v>
      </c>
      <c r="F64" s="10">
        <f t="shared" si="24"/>
        <v>15000</v>
      </c>
      <c r="G64" s="10">
        <f t="shared" si="24"/>
        <v>63810</v>
      </c>
      <c r="H64" s="10">
        <f t="shared" si="24"/>
        <v>9980</v>
      </c>
      <c r="I64" s="10">
        <f t="shared" si="24"/>
        <v>127922.8</v>
      </c>
      <c r="J64" s="10">
        <f t="shared" si="24"/>
        <v>674.5</v>
      </c>
      <c r="K64" s="10">
        <f t="shared" si="24"/>
        <v>0</v>
      </c>
      <c r="L64" s="10">
        <f>SUM(L59:L63)</f>
        <v>990372.64999999991</v>
      </c>
      <c r="M64" s="10">
        <f t="shared" ref="M64" si="25">SUM(M59:M63)</f>
        <v>99.13</v>
      </c>
      <c r="N64" s="10">
        <f t="shared" ref="N64:O64" si="26">SUM(N59:N63)</f>
        <v>0</v>
      </c>
      <c r="O64" s="10">
        <f t="shared" si="26"/>
        <v>0</v>
      </c>
      <c r="P64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/>
    </row>
    <row r="66" spans="1:16" x14ac:dyDescent="0.2">
      <c r="A66" s="2">
        <v>15</v>
      </c>
      <c r="B66" s="5">
        <v>0</v>
      </c>
      <c r="C66" s="5">
        <v>0</v>
      </c>
      <c r="D66" s="5">
        <v>155</v>
      </c>
      <c r="E66" s="5">
        <v>865.5</v>
      </c>
      <c r="F66" s="5">
        <v>0</v>
      </c>
      <c r="G66" s="5">
        <v>6795</v>
      </c>
      <c r="H66" s="5">
        <v>2770.77</v>
      </c>
      <c r="I66" s="5">
        <v>132841.60999999999</v>
      </c>
      <c r="J66" s="5">
        <v>34</v>
      </c>
      <c r="K66" s="5">
        <v>0</v>
      </c>
      <c r="L66" s="5">
        <f t="shared" ref="L66:L70" si="27">SUM(B66:K66)</f>
        <v>143461.87999999998</v>
      </c>
      <c r="M66" s="5">
        <v>0</v>
      </c>
      <c r="N66" s="5">
        <v>0</v>
      </c>
      <c r="O66" s="5">
        <v>0</v>
      </c>
      <c r="P66"/>
    </row>
    <row r="67" spans="1:16" x14ac:dyDescent="0.2">
      <c r="A67" s="2">
        <v>16</v>
      </c>
      <c r="B67" s="5">
        <v>76996.7</v>
      </c>
      <c r="C67" s="5">
        <f>22612-20000</f>
        <v>2612</v>
      </c>
      <c r="D67" s="5">
        <v>160</v>
      </c>
      <c r="E67" s="5">
        <v>332</v>
      </c>
      <c r="F67" s="5">
        <v>0</v>
      </c>
      <c r="G67" s="5">
        <v>600</v>
      </c>
      <c r="H67" s="5">
        <v>586</v>
      </c>
      <c r="I67" s="5">
        <v>39533</v>
      </c>
      <c r="J67" s="5">
        <v>25</v>
      </c>
      <c r="K67" s="5">
        <v>0</v>
      </c>
      <c r="L67" s="5">
        <f t="shared" si="27"/>
        <v>120844.7</v>
      </c>
      <c r="M67" s="5">
        <v>20000</v>
      </c>
      <c r="N67" s="5">
        <v>0</v>
      </c>
      <c r="O67" s="5">
        <v>0</v>
      </c>
      <c r="P67"/>
    </row>
    <row r="68" spans="1:16" x14ac:dyDescent="0.2">
      <c r="A68" s="2">
        <v>17</v>
      </c>
      <c r="B68" s="5">
        <v>265192.49</v>
      </c>
      <c r="C68" s="5">
        <v>55009.26</v>
      </c>
      <c r="D68" s="5">
        <v>15</v>
      </c>
      <c r="E68" s="5">
        <v>32</v>
      </c>
      <c r="F68" s="5">
        <v>180.54</v>
      </c>
      <c r="G68" s="5">
        <v>4925</v>
      </c>
      <c r="H68" s="5">
        <v>773</v>
      </c>
      <c r="I68" s="5">
        <v>39091.5</v>
      </c>
      <c r="J68" s="5">
        <v>100</v>
      </c>
      <c r="K68" s="5">
        <v>0</v>
      </c>
      <c r="L68" s="5">
        <f t="shared" si="27"/>
        <v>365318.79</v>
      </c>
      <c r="M68" s="5">
        <v>0</v>
      </c>
      <c r="N68" s="5">
        <v>0</v>
      </c>
      <c r="O68" s="5">
        <v>0</v>
      </c>
      <c r="P68"/>
    </row>
    <row r="69" spans="1:16" x14ac:dyDescent="0.2">
      <c r="A69" s="2">
        <v>18</v>
      </c>
      <c r="B69" s="5">
        <v>65583.75</v>
      </c>
      <c r="C69" s="5">
        <v>30812</v>
      </c>
      <c r="D69" s="5">
        <v>20</v>
      </c>
      <c r="E69" s="5">
        <v>191.5</v>
      </c>
      <c r="F69" s="5">
        <v>0</v>
      </c>
      <c r="G69" s="5">
        <v>32300</v>
      </c>
      <c r="H69" s="5">
        <v>1840</v>
      </c>
      <c r="I69" s="5">
        <v>47274.1</v>
      </c>
      <c r="J69" s="5">
        <v>0</v>
      </c>
      <c r="K69" s="5">
        <v>0</v>
      </c>
      <c r="L69" s="5">
        <f t="shared" si="27"/>
        <v>178021.35</v>
      </c>
      <c r="M69" s="5">
        <v>0</v>
      </c>
      <c r="N69" s="5">
        <v>0</v>
      </c>
      <c r="O69" s="5">
        <v>0</v>
      </c>
      <c r="P69"/>
    </row>
    <row r="70" spans="1:16" x14ac:dyDescent="0.2">
      <c r="A70" s="2">
        <v>19</v>
      </c>
      <c r="B70" s="5">
        <v>79117.210000000006</v>
      </c>
      <c r="C70" s="5">
        <v>26932.33</v>
      </c>
      <c r="D70" s="5">
        <v>20</v>
      </c>
      <c r="E70" s="5">
        <v>130</v>
      </c>
      <c r="F70" s="5">
        <v>115815.97</v>
      </c>
      <c r="G70" s="5">
        <v>730</v>
      </c>
      <c r="H70" s="5">
        <v>911</v>
      </c>
      <c r="I70" s="5">
        <v>22833.55</v>
      </c>
      <c r="J70" s="5">
        <v>35</v>
      </c>
      <c r="K70" s="5">
        <v>0</v>
      </c>
      <c r="L70" s="5">
        <f t="shared" si="27"/>
        <v>246525.06</v>
      </c>
      <c r="M70" s="5">
        <v>201400</v>
      </c>
      <c r="N70" s="5">
        <v>200400</v>
      </c>
      <c r="O70" s="5">
        <v>200400</v>
      </c>
      <c r="P70"/>
    </row>
    <row r="71" spans="1:16" x14ac:dyDescent="0.2">
      <c r="A71" s="3" t="s">
        <v>8</v>
      </c>
      <c r="B71" s="10">
        <f t="shared" ref="B71:K71" si="28">SUM(B66:B70)</f>
        <v>486890.15</v>
      </c>
      <c r="C71" s="10">
        <f t="shared" si="28"/>
        <v>115365.59000000001</v>
      </c>
      <c r="D71" s="10">
        <f t="shared" si="28"/>
        <v>370</v>
      </c>
      <c r="E71" s="10">
        <f t="shared" si="28"/>
        <v>1551</v>
      </c>
      <c r="F71" s="10">
        <f t="shared" si="28"/>
        <v>115996.51</v>
      </c>
      <c r="G71" s="10">
        <f t="shared" si="28"/>
        <v>45350</v>
      </c>
      <c r="H71" s="10">
        <f t="shared" si="28"/>
        <v>6880.77</v>
      </c>
      <c r="I71" s="10">
        <f t="shared" si="28"/>
        <v>281573.76000000001</v>
      </c>
      <c r="J71" s="10">
        <f t="shared" si="28"/>
        <v>194</v>
      </c>
      <c r="K71" s="10">
        <f t="shared" si="28"/>
        <v>0</v>
      </c>
      <c r="L71" s="10">
        <f>SUM(L66:L70)</f>
        <v>1054171.7799999998</v>
      </c>
      <c r="M71" s="10">
        <f t="shared" ref="M71" si="29">SUM(M66:M70)</f>
        <v>221400</v>
      </c>
      <c r="N71" s="10">
        <f>SUM(N66:N70)</f>
        <v>200400</v>
      </c>
      <c r="O71" s="10">
        <f>SUM(O66:O70)</f>
        <v>200400</v>
      </c>
      <c r="P71"/>
    </row>
    <row r="72" spans="1:1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/>
    </row>
    <row r="73" spans="1:16" x14ac:dyDescent="0.2">
      <c r="A73" s="2">
        <v>22</v>
      </c>
      <c r="B73" s="5">
        <v>68326.7</v>
      </c>
      <c r="C73" s="5">
        <v>30498.26</v>
      </c>
      <c r="D73" s="5">
        <f>201433.97+289</f>
        <v>201722.97</v>
      </c>
      <c r="E73" s="5">
        <v>481</v>
      </c>
      <c r="F73" s="5">
        <v>0</v>
      </c>
      <c r="G73" s="5">
        <v>1410</v>
      </c>
      <c r="H73" s="5">
        <v>1699</v>
      </c>
      <c r="I73" s="5">
        <v>76984.259999999995</v>
      </c>
      <c r="J73" s="5">
        <v>0</v>
      </c>
      <c r="K73" s="5">
        <v>0</v>
      </c>
      <c r="L73" s="5">
        <f t="shared" ref="L73:L77" si="30">SUM(B73:K73)</f>
        <v>381122.19</v>
      </c>
      <c r="M73" s="5">
        <v>0</v>
      </c>
      <c r="N73" s="5">
        <v>0</v>
      </c>
      <c r="O73" s="5">
        <v>0</v>
      </c>
      <c r="P73"/>
    </row>
    <row r="74" spans="1:16" x14ac:dyDescent="0.2">
      <c r="A74" s="2">
        <v>23</v>
      </c>
      <c r="B74" s="5">
        <v>146323.4</v>
      </c>
      <c r="C74" s="5">
        <v>39582.58</v>
      </c>
      <c r="D74" s="5">
        <v>30</v>
      </c>
      <c r="E74" s="5">
        <v>115.5</v>
      </c>
      <c r="F74" s="5">
        <f>15699.18+192.1</f>
        <v>15891.28</v>
      </c>
      <c r="G74" s="5">
        <f>4500-5000</f>
        <v>-500</v>
      </c>
      <c r="H74" s="5">
        <v>858</v>
      </c>
      <c r="I74" s="5">
        <v>28065.37</v>
      </c>
      <c r="J74" s="5">
        <v>20</v>
      </c>
      <c r="K74" s="5">
        <v>0</v>
      </c>
      <c r="L74" s="5">
        <f t="shared" si="30"/>
        <v>230386.12999999998</v>
      </c>
      <c r="M74" s="5">
        <v>5000</v>
      </c>
      <c r="N74" s="5">
        <v>0</v>
      </c>
      <c r="O74" s="5">
        <v>0</v>
      </c>
      <c r="P74"/>
    </row>
    <row r="75" spans="1:16" x14ac:dyDescent="0.2">
      <c r="A75" s="2">
        <v>24</v>
      </c>
      <c r="B75" s="5">
        <v>184813.16</v>
      </c>
      <c r="C75" s="5">
        <v>28248.58</v>
      </c>
      <c r="D75" s="5">
        <v>0</v>
      </c>
      <c r="E75" s="5">
        <v>133</v>
      </c>
      <c r="F75" s="5">
        <v>0</v>
      </c>
      <c r="G75" s="5">
        <v>10900</v>
      </c>
      <c r="H75" s="5">
        <v>365.16</v>
      </c>
      <c r="I75" s="5">
        <f>38590.54+3</f>
        <v>38593.54</v>
      </c>
      <c r="J75" s="5">
        <v>35</v>
      </c>
      <c r="K75" s="5">
        <v>0</v>
      </c>
      <c r="L75" s="5">
        <f t="shared" si="30"/>
        <v>263088.44</v>
      </c>
      <c r="M75" s="5">
        <v>0</v>
      </c>
      <c r="N75" s="5">
        <v>0</v>
      </c>
      <c r="O75" s="5">
        <v>0</v>
      </c>
      <c r="P75"/>
    </row>
    <row r="76" spans="1:16" x14ac:dyDescent="0.2">
      <c r="A76" s="2">
        <v>25</v>
      </c>
      <c r="B76" s="5">
        <v>82186</v>
      </c>
      <c r="C76" s="5">
        <v>21101.1</v>
      </c>
      <c r="D76" s="5">
        <v>0</v>
      </c>
      <c r="E76" s="5">
        <v>443</v>
      </c>
      <c r="F76" s="5">
        <v>0</v>
      </c>
      <c r="G76" s="5">
        <v>10100</v>
      </c>
      <c r="H76" s="5">
        <v>788.64</v>
      </c>
      <c r="I76" s="5">
        <v>53135.98</v>
      </c>
      <c r="J76" s="5">
        <v>35</v>
      </c>
      <c r="K76" s="5">
        <v>0</v>
      </c>
      <c r="L76" s="5">
        <f t="shared" si="30"/>
        <v>167789.72</v>
      </c>
      <c r="M76" s="5">
        <v>0</v>
      </c>
      <c r="N76" s="5">
        <v>0</v>
      </c>
      <c r="O76" s="5">
        <v>0</v>
      </c>
      <c r="P76"/>
    </row>
    <row r="77" spans="1:16" x14ac:dyDescent="0.2">
      <c r="A77" s="2">
        <v>26</v>
      </c>
      <c r="B77" s="5">
        <f>39880.06-9723.3</f>
        <v>30156.76</v>
      </c>
      <c r="C77" s="5">
        <v>15746.66</v>
      </c>
      <c r="D77" s="5">
        <v>10</v>
      </c>
      <c r="E77" s="5">
        <v>152</v>
      </c>
      <c r="F77" s="5">
        <v>0</v>
      </c>
      <c r="G77" s="5">
        <v>16550</v>
      </c>
      <c r="H77" s="5">
        <v>918</v>
      </c>
      <c r="I77" s="5">
        <v>36187.25</v>
      </c>
      <c r="J77" s="5">
        <v>25</v>
      </c>
      <c r="K77" s="5">
        <v>0</v>
      </c>
      <c r="L77" s="5">
        <f t="shared" si="30"/>
        <v>99745.67</v>
      </c>
      <c r="M77" s="5">
        <v>9723.2999999999993</v>
      </c>
      <c r="N77" s="5">
        <v>0</v>
      </c>
      <c r="O77" s="5">
        <v>0</v>
      </c>
      <c r="P77"/>
    </row>
    <row r="78" spans="1:16" x14ac:dyDescent="0.2">
      <c r="A78" s="3" t="s">
        <v>8</v>
      </c>
      <c r="B78" s="10">
        <f t="shared" ref="B78:K78" si="31">SUM(B73:B77)</f>
        <v>511806.02</v>
      </c>
      <c r="C78" s="10">
        <f t="shared" si="31"/>
        <v>135177.18</v>
      </c>
      <c r="D78" s="10">
        <f t="shared" si="31"/>
        <v>201762.97</v>
      </c>
      <c r="E78" s="10">
        <f t="shared" si="31"/>
        <v>1324.5</v>
      </c>
      <c r="F78" s="10">
        <f t="shared" si="31"/>
        <v>15891.28</v>
      </c>
      <c r="G78" s="10">
        <f t="shared" si="31"/>
        <v>38460</v>
      </c>
      <c r="H78" s="10">
        <f t="shared" si="31"/>
        <v>4628.7999999999993</v>
      </c>
      <c r="I78" s="10">
        <f t="shared" si="31"/>
        <v>232966.39999999999</v>
      </c>
      <c r="J78" s="10">
        <f t="shared" si="31"/>
        <v>115</v>
      </c>
      <c r="K78" s="10">
        <f t="shared" si="31"/>
        <v>0</v>
      </c>
      <c r="L78" s="10">
        <f>SUM(L73:L77)</f>
        <v>1142132.1499999999</v>
      </c>
      <c r="M78" s="10">
        <f t="shared" ref="M78" si="32">SUM(M73:M77)</f>
        <v>14723.3</v>
      </c>
      <c r="N78" s="10">
        <f>SUM(N73:N76)</f>
        <v>0</v>
      </c>
      <c r="O78" s="10">
        <f>SUM(O73:O76)</f>
        <v>0</v>
      </c>
      <c r="P78"/>
    </row>
    <row r="79" spans="1:1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5"/>
      <c r="O79" s="5"/>
      <c r="P79"/>
    </row>
    <row r="80" spans="1:16" x14ac:dyDescent="0.2">
      <c r="A80" s="2">
        <v>29</v>
      </c>
      <c r="B80" s="5">
        <f>153473.4-2</f>
        <v>153471.4</v>
      </c>
      <c r="C80" s="5">
        <v>44266.64</v>
      </c>
      <c r="D80" s="5">
        <v>305</v>
      </c>
      <c r="E80" s="5">
        <v>979.5</v>
      </c>
      <c r="F80" s="5">
        <v>1136007.8400000001</v>
      </c>
      <c r="G80" s="5">
        <f>108790-5000</f>
        <v>103790</v>
      </c>
      <c r="H80" s="5">
        <v>5685.23</v>
      </c>
      <c r="I80" s="5">
        <v>291948.46000000002</v>
      </c>
      <c r="J80" s="5">
        <v>140</v>
      </c>
      <c r="K80" s="5">
        <v>10509.17</v>
      </c>
      <c r="L80" s="5">
        <f t="shared" ref="L80:L84" si="33">SUM(B80:K80)</f>
        <v>1747103.24</v>
      </c>
      <c r="M80" s="5">
        <f>5000+27516.03</f>
        <v>32516.03</v>
      </c>
      <c r="N80" s="5">
        <v>0</v>
      </c>
      <c r="O80" s="5">
        <v>0</v>
      </c>
      <c r="P80"/>
    </row>
    <row r="81" spans="1:16" x14ac:dyDescent="0.2">
      <c r="A81" s="2"/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f t="shared" si="33"/>
        <v>0</v>
      </c>
      <c r="M81" s="5">
        <v>0</v>
      </c>
      <c r="N81" s="5">
        <v>0</v>
      </c>
      <c r="O81" s="5">
        <v>0</v>
      </c>
      <c r="P81"/>
    </row>
    <row r="82" spans="1:16" x14ac:dyDescent="0.2">
      <c r="A82" s="2"/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f t="shared" si="33"/>
        <v>0</v>
      </c>
      <c r="M82" s="5">
        <v>0</v>
      </c>
      <c r="N82" s="5">
        <v>0</v>
      </c>
      <c r="O82" s="5">
        <v>0</v>
      </c>
      <c r="P82"/>
    </row>
    <row r="83" spans="1:16" x14ac:dyDescent="0.2">
      <c r="A83" s="2"/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f t="shared" si="33"/>
        <v>0</v>
      </c>
      <c r="M83" s="5">
        <v>0</v>
      </c>
      <c r="N83" s="5">
        <v>0</v>
      </c>
      <c r="O83" s="5">
        <v>0</v>
      </c>
      <c r="P83"/>
    </row>
    <row r="84" spans="1:16" x14ac:dyDescent="0.2">
      <c r="A84" s="2"/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f t="shared" si="33"/>
        <v>0</v>
      </c>
      <c r="M84" s="5">
        <v>0</v>
      </c>
      <c r="N84" s="5">
        <v>0</v>
      </c>
      <c r="O84" s="5">
        <v>0</v>
      </c>
      <c r="P84"/>
    </row>
    <row r="85" spans="1:16" x14ac:dyDescent="0.2">
      <c r="A85" s="3" t="s">
        <v>8</v>
      </c>
      <c r="B85" s="10">
        <f t="shared" ref="B85:M85" si="34">SUM(B80:B84)</f>
        <v>153471.4</v>
      </c>
      <c r="C85" s="10">
        <f t="shared" si="34"/>
        <v>44266.64</v>
      </c>
      <c r="D85" s="10">
        <f t="shared" si="34"/>
        <v>305</v>
      </c>
      <c r="E85" s="10">
        <f t="shared" si="34"/>
        <v>979.5</v>
      </c>
      <c r="F85" s="10">
        <f t="shared" si="34"/>
        <v>1136007.8400000001</v>
      </c>
      <c r="G85" s="10">
        <f t="shared" si="34"/>
        <v>103790</v>
      </c>
      <c r="H85" s="10">
        <f t="shared" si="34"/>
        <v>5685.23</v>
      </c>
      <c r="I85" s="10">
        <f t="shared" si="34"/>
        <v>291948.46000000002</v>
      </c>
      <c r="J85" s="10">
        <f t="shared" si="34"/>
        <v>140</v>
      </c>
      <c r="K85" s="10">
        <f t="shared" si="34"/>
        <v>10509.17</v>
      </c>
      <c r="L85" s="10">
        <f t="shared" si="34"/>
        <v>1747103.24</v>
      </c>
      <c r="M85" s="10">
        <f t="shared" si="34"/>
        <v>32516.03</v>
      </c>
      <c r="N85" s="10">
        <f>SUM(N79:N84)</f>
        <v>0</v>
      </c>
      <c r="O85" s="10">
        <f>SUM(O79:O84)</f>
        <v>0</v>
      </c>
      <c r="P85"/>
    </row>
    <row r="86" spans="1:1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6"/>
      <c r="P86"/>
    </row>
    <row r="87" spans="1:16" x14ac:dyDescent="0.2">
      <c r="A87" s="2" t="s">
        <v>9</v>
      </c>
      <c r="B87" s="29">
        <v>0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5">
        <f t="shared" ref="L87:L88" si="35">SUM(B87:K87)</f>
        <v>0</v>
      </c>
      <c r="M87" s="29">
        <v>0</v>
      </c>
      <c r="N87" s="29">
        <v>0</v>
      </c>
      <c r="O87" s="29">
        <v>0</v>
      </c>
      <c r="P87"/>
    </row>
    <row r="88" spans="1:16" x14ac:dyDescent="0.2">
      <c r="A88" s="2" t="s">
        <v>10</v>
      </c>
      <c r="B88" s="29">
        <f>-420-825-1042</f>
        <v>-2287</v>
      </c>
      <c r="C88" s="29">
        <f>-25-100-225</f>
        <v>-350</v>
      </c>
      <c r="D88" s="29">
        <f>-70-30-200-166</f>
        <v>-466</v>
      </c>
      <c r="E88" s="29">
        <v>0</v>
      </c>
      <c r="F88" s="29">
        <v>0</v>
      </c>
      <c r="G88" s="29">
        <v>0</v>
      </c>
      <c r="H88" s="29">
        <v>0</v>
      </c>
      <c r="I88" s="29">
        <f>-1246.48-1395-780-1526-2708</f>
        <v>-7655.48</v>
      </c>
      <c r="J88" s="29">
        <v>0</v>
      </c>
      <c r="K88" s="29">
        <v>0</v>
      </c>
      <c r="L88" s="5">
        <f t="shared" si="35"/>
        <v>-10758.48</v>
      </c>
      <c r="M88" s="29">
        <v>0</v>
      </c>
      <c r="N88" s="29">
        <v>0</v>
      </c>
      <c r="O88" s="29">
        <v>0</v>
      </c>
      <c r="P88"/>
    </row>
    <row r="89" spans="1:16" x14ac:dyDescent="0.2">
      <c r="A89" s="2"/>
      <c r="B89" s="2"/>
      <c r="C89" s="2"/>
      <c r="D89" s="2"/>
      <c r="E89" s="2"/>
      <c r="F89" s="2"/>
      <c r="G89" s="2"/>
      <c r="H89" s="2"/>
      <c r="I89" s="2"/>
      <c r="K89" s="25"/>
      <c r="P89"/>
    </row>
    <row r="90" spans="1:16" x14ac:dyDescent="0.2">
      <c r="A90" s="3" t="s">
        <v>6</v>
      </c>
      <c r="B90" s="10">
        <f t="shared" ref="B90:I90" si="36">+B57+B64+B71+B78+B85+B87+B88</f>
        <v>2170616.31</v>
      </c>
      <c r="C90" s="10">
        <f t="shared" si="36"/>
        <v>727637.04999999993</v>
      </c>
      <c r="D90" s="10">
        <f t="shared" si="36"/>
        <v>202437.97</v>
      </c>
      <c r="E90" s="10">
        <f t="shared" si="36"/>
        <v>6093.5</v>
      </c>
      <c r="F90" s="10">
        <f t="shared" si="36"/>
        <v>2892014.7</v>
      </c>
      <c r="G90" s="10">
        <f t="shared" si="36"/>
        <v>287170</v>
      </c>
      <c r="H90" s="10">
        <f t="shared" si="36"/>
        <v>34090.800000000003</v>
      </c>
      <c r="I90" s="10">
        <f t="shared" si="36"/>
        <v>1026383.04</v>
      </c>
      <c r="J90" s="10">
        <f t="shared" ref="J90:O90" si="37">+J85+J78+J71+J64+J57+J87+J88</f>
        <v>14918.5</v>
      </c>
      <c r="K90" s="10">
        <f t="shared" si="37"/>
        <v>10690.210000000001</v>
      </c>
      <c r="L90" s="10">
        <f t="shared" si="37"/>
        <v>7372052.0799999991</v>
      </c>
      <c r="M90" s="10">
        <f t="shared" si="37"/>
        <v>440338.46</v>
      </c>
      <c r="N90" s="10">
        <f t="shared" si="37"/>
        <v>200400</v>
      </c>
      <c r="O90" s="10">
        <f t="shared" si="37"/>
        <v>200400</v>
      </c>
      <c r="P90"/>
    </row>
    <row r="91" spans="1:16" x14ac:dyDescent="0.2">
      <c r="B91" s="1"/>
      <c r="C91" s="1"/>
      <c r="D91" s="1"/>
      <c r="E91" s="1"/>
      <c r="F91" s="1"/>
      <c r="G91" s="1"/>
      <c r="H91" s="1"/>
      <c r="I91" s="2"/>
      <c r="P91"/>
    </row>
    <row r="92" spans="1:16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P92"/>
    </row>
    <row r="93" spans="1:16" x14ac:dyDescent="0.2">
      <c r="A93" s="11" t="s">
        <v>22</v>
      </c>
      <c r="B93" s="9"/>
      <c r="C93" s="9"/>
      <c r="D93" s="2"/>
      <c r="E93" s="2"/>
      <c r="F93" s="11" t="s">
        <v>0</v>
      </c>
      <c r="G93" s="2"/>
      <c r="H93" s="2"/>
      <c r="I93" s="2"/>
      <c r="P93"/>
    </row>
    <row r="94" spans="1:16" x14ac:dyDescent="0.2">
      <c r="A94" s="9"/>
      <c r="B94" s="9"/>
      <c r="C94" s="9"/>
      <c r="D94" s="2"/>
      <c r="E94" s="2"/>
      <c r="F94" s="11" t="s">
        <v>1</v>
      </c>
      <c r="G94" s="2"/>
      <c r="H94" s="2"/>
      <c r="I94" s="2"/>
      <c r="P94"/>
    </row>
    <row r="95" spans="1:16" x14ac:dyDescent="0.2">
      <c r="A95" s="2"/>
      <c r="B95" s="2"/>
      <c r="C95" s="2"/>
      <c r="D95" s="2"/>
      <c r="E95" s="2"/>
      <c r="F95" s="2"/>
      <c r="G95" s="2"/>
      <c r="H95" s="2"/>
      <c r="I95" s="2"/>
      <c r="P95"/>
    </row>
    <row r="96" spans="1:16" x14ac:dyDescent="0.2">
      <c r="A96" s="4"/>
      <c r="B96" s="11" t="s">
        <v>2</v>
      </c>
      <c r="C96" s="11" t="s">
        <v>38</v>
      </c>
      <c r="D96" s="11" t="s">
        <v>44</v>
      </c>
      <c r="E96" s="11" t="s">
        <v>41</v>
      </c>
      <c r="F96" s="11" t="s">
        <v>4</v>
      </c>
      <c r="G96" s="11" t="s">
        <v>36</v>
      </c>
      <c r="H96" s="11" t="s">
        <v>3</v>
      </c>
      <c r="I96" s="11" t="s">
        <v>40</v>
      </c>
      <c r="J96" s="11" t="s">
        <v>45</v>
      </c>
      <c r="K96" s="11" t="s">
        <v>5</v>
      </c>
      <c r="L96" s="11" t="s">
        <v>6</v>
      </c>
      <c r="M96" s="11" t="s">
        <v>46</v>
      </c>
      <c r="N96" s="11" t="s">
        <v>48</v>
      </c>
      <c r="O96" s="11" t="s">
        <v>49</v>
      </c>
      <c r="P96"/>
    </row>
    <row r="97" spans="1:16" x14ac:dyDescent="0.2">
      <c r="A97" s="2"/>
      <c r="B97" s="2"/>
      <c r="C97" s="2"/>
      <c r="D97" s="2"/>
      <c r="F97" s="2"/>
      <c r="G97" s="2"/>
      <c r="H97" s="2"/>
      <c r="J97" s="2"/>
      <c r="K97" s="2"/>
      <c r="L97" s="2"/>
      <c r="M97" s="2"/>
      <c r="N97" s="2"/>
      <c r="O97" s="2"/>
      <c r="P97"/>
    </row>
    <row r="98" spans="1:16" x14ac:dyDescent="0.2">
      <c r="A98" s="2"/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f>SUM(B98:K98)</f>
        <v>0</v>
      </c>
      <c r="M98" s="5">
        <v>0</v>
      </c>
      <c r="N98" s="5">
        <v>0</v>
      </c>
      <c r="O98" s="5">
        <v>0</v>
      </c>
      <c r="P98"/>
    </row>
    <row r="99" spans="1:16" x14ac:dyDescent="0.2">
      <c r="A99" s="2">
        <v>1</v>
      </c>
      <c r="B99" s="5">
        <v>0</v>
      </c>
      <c r="C99" s="5">
        <v>4017</v>
      </c>
      <c r="D99" s="5">
        <v>0</v>
      </c>
      <c r="E99" s="5">
        <v>0</v>
      </c>
      <c r="F99" s="5">
        <f>1650000+350000</f>
        <v>2000000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f t="shared" ref="L99:L102" si="38">SUM(B99:K99)</f>
        <v>2004017</v>
      </c>
      <c r="M99" s="5">
        <v>0</v>
      </c>
      <c r="N99" s="5">
        <v>0</v>
      </c>
      <c r="O99" s="5">
        <v>0</v>
      </c>
      <c r="P99"/>
    </row>
    <row r="100" spans="1:16" x14ac:dyDescent="0.2">
      <c r="A100" s="2">
        <v>2</v>
      </c>
      <c r="B100" s="5">
        <v>37908</v>
      </c>
      <c r="C100" s="5">
        <v>12767.16</v>
      </c>
      <c r="D100" s="5">
        <v>145</v>
      </c>
      <c r="E100" s="5">
        <v>411</v>
      </c>
      <c r="F100" s="5">
        <v>0</v>
      </c>
      <c r="G100" s="5">
        <f>4350-600</f>
        <v>3750</v>
      </c>
      <c r="H100" s="5">
        <v>1130</v>
      </c>
      <c r="I100" s="5">
        <v>43725.27</v>
      </c>
      <c r="J100" s="5">
        <v>0</v>
      </c>
      <c r="K100" s="5">
        <v>0</v>
      </c>
      <c r="L100" s="5">
        <f t="shared" si="38"/>
        <v>99836.43</v>
      </c>
      <c r="M100" s="5">
        <v>600</v>
      </c>
      <c r="N100" s="5">
        <v>0</v>
      </c>
      <c r="O100" s="5">
        <v>0</v>
      </c>
      <c r="P100"/>
    </row>
    <row r="101" spans="1:16" x14ac:dyDescent="0.2">
      <c r="A101" s="7">
        <v>3</v>
      </c>
      <c r="B101" s="5">
        <v>47731.45</v>
      </c>
      <c r="C101" s="5">
        <v>14322</v>
      </c>
      <c r="D101" s="5">
        <v>0</v>
      </c>
      <c r="E101" s="5">
        <v>477</v>
      </c>
      <c r="F101" s="5">
        <v>0</v>
      </c>
      <c r="G101" s="5">
        <f>45100+100</f>
        <v>45200</v>
      </c>
      <c r="H101" s="5">
        <v>5620</v>
      </c>
      <c r="I101" s="5">
        <v>35913.64</v>
      </c>
      <c r="J101" s="5">
        <v>10</v>
      </c>
      <c r="K101" s="5">
        <v>0</v>
      </c>
      <c r="L101" s="5">
        <f t="shared" si="38"/>
        <v>149274.09</v>
      </c>
      <c r="M101" s="5">
        <v>0</v>
      </c>
      <c r="N101" s="5">
        <v>0</v>
      </c>
      <c r="O101" s="5">
        <v>0</v>
      </c>
      <c r="P101"/>
    </row>
    <row r="102" spans="1:16" x14ac:dyDescent="0.2">
      <c r="A102" s="7">
        <v>4</v>
      </c>
      <c r="B102" s="5">
        <v>21350.01</v>
      </c>
      <c r="C102" s="5">
        <v>9089.16</v>
      </c>
      <c r="D102" s="5">
        <v>100</v>
      </c>
      <c r="E102" s="5">
        <v>95</v>
      </c>
      <c r="F102" s="5">
        <v>0</v>
      </c>
      <c r="G102" s="5">
        <v>900</v>
      </c>
      <c r="H102" s="5">
        <v>789</v>
      </c>
      <c r="I102" s="5">
        <v>19646.77</v>
      </c>
      <c r="J102" s="5">
        <v>100</v>
      </c>
      <c r="K102" s="5">
        <v>0</v>
      </c>
      <c r="L102" s="5">
        <f t="shared" si="38"/>
        <v>52069.94</v>
      </c>
      <c r="M102" s="5">
        <v>0</v>
      </c>
      <c r="N102" s="5">
        <v>0</v>
      </c>
      <c r="O102" s="5">
        <v>0</v>
      </c>
      <c r="P102"/>
    </row>
    <row r="103" spans="1:16" x14ac:dyDescent="0.2">
      <c r="A103" s="3" t="s">
        <v>8</v>
      </c>
      <c r="B103" s="10">
        <f t="shared" ref="B103:K103" si="39">SUM(B98:B102)</f>
        <v>106989.45999999999</v>
      </c>
      <c r="C103" s="10">
        <f t="shared" si="39"/>
        <v>40195.32</v>
      </c>
      <c r="D103" s="10">
        <f t="shared" si="39"/>
        <v>245</v>
      </c>
      <c r="E103" s="10">
        <f t="shared" si="39"/>
        <v>983</v>
      </c>
      <c r="F103" s="10">
        <f t="shared" si="39"/>
        <v>2000000</v>
      </c>
      <c r="G103" s="10">
        <f t="shared" si="39"/>
        <v>49850</v>
      </c>
      <c r="H103" s="10">
        <f t="shared" si="39"/>
        <v>7539</v>
      </c>
      <c r="I103" s="10">
        <f t="shared" si="39"/>
        <v>99285.680000000008</v>
      </c>
      <c r="J103" s="10">
        <f t="shared" si="39"/>
        <v>110</v>
      </c>
      <c r="K103" s="10">
        <f t="shared" si="39"/>
        <v>0</v>
      </c>
      <c r="L103" s="10">
        <f>SUM(L98:L102)</f>
        <v>2305197.46</v>
      </c>
      <c r="M103" s="10">
        <f t="shared" ref="M103" si="40">SUM(M98:M102)</f>
        <v>600</v>
      </c>
      <c r="N103" s="10">
        <f>SUM(N99:N102)</f>
        <v>0</v>
      </c>
      <c r="O103" s="10">
        <f>SUM(O99:O102)</f>
        <v>0</v>
      </c>
      <c r="P103"/>
    </row>
    <row r="104" spans="1:1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/>
    </row>
    <row r="105" spans="1:16" x14ac:dyDescent="0.2">
      <c r="A105" s="7">
        <v>7</v>
      </c>
      <c r="B105" s="5">
        <f>38183.6+300</f>
        <v>38483.599999999999</v>
      </c>
      <c r="C105" s="5">
        <v>10643.06</v>
      </c>
      <c r="D105" s="5">
        <v>180</v>
      </c>
      <c r="E105" s="5">
        <v>422</v>
      </c>
      <c r="F105" s="5">
        <v>0</v>
      </c>
      <c r="G105" s="5">
        <f>46600+25</f>
        <v>46625</v>
      </c>
      <c r="H105" s="5">
        <v>7434</v>
      </c>
      <c r="I105" s="5">
        <v>49169.93</v>
      </c>
      <c r="J105" s="5">
        <v>362.5</v>
      </c>
      <c r="K105" s="5">
        <v>0</v>
      </c>
      <c r="L105" s="5">
        <f t="shared" ref="L105:L109" si="41">SUM(B105:K105)</f>
        <v>153320.09</v>
      </c>
      <c r="M105" s="5">
        <v>0</v>
      </c>
      <c r="N105" s="5">
        <v>0</v>
      </c>
      <c r="O105" s="5">
        <v>0</v>
      </c>
      <c r="P105"/>
    </row>
    <row r="106" spans="1:16" x14ac:dyDescent="0.2">
      <c r="A106" s="7">
        <v>8</v>
      </c>
      <c r="B106" s="5">
        <v>108843.51</v>
      </c>
      <c r="C106" s="5">
        <v>25754.36</v>
      </c>
      <c r="D106" s="5">
        <v>53</v>
      </c>
      <c r="E106" s="5">
        <v>213</v>
      </c>
      <c r="F106" s="5">
        <v>66708.289999999994</v>
      </c>
      <c r="G106" s="5">
        <v>27600</v>
      </c>
      <c r="H106" s="5">
        <v>3258</v>
      </c>
      <c r="I106" s="5">
        <v>18130.5</v>
      </c>
      <c r="J106" s="5">
        <v>0</v>
      </c>
      <c r="K106" s="5">
        <v>0</v>
      </c>
      <c r="L106" s="5">
        <f t="shared" si="41"/>
        <v>250560.65999999997</v>
      </c>
      <c r="M106" s="5">
        <v>90000</v>
      </c>
      <c r="N106" s="5">
        <v>0</v>
      </c>
      <c r="O106" s="5">
        <v>45000</v>
      </c>
      <c r="P106"/>
    </row>
    <row r="107" spans="1:16" x14ac:dyDescent="0.2">
      <c r="A107" s="7">
        <v>9</v>
      </c>
      <c r="B107" s="5">
        <v>141230.25</v>
      </c>
      <c r="C107" s="5">
        <v>45173.77</v>
      </c>
      <c r="D107" s="5">
        <v>30</v>
      </c>
      <c r="E107" s="5">
        <v>232.5</v>
      </c>
      <c r="F107" s="5">
        <v>0</v>
      </c>
      <c r="G107" s="5">
        <v>12910</v>
      </c>
      <c r="H107" s="5">
        <v>2016</v>
      </c>
      <c r="I107" s="5">
        <v>21356.61</v>
      </c>
      <c r="J107" s="5">
        <v>50</v>
      </c>
      <c r="K107" s="5">
        <v>0</v>
      </c>
      <c r="L107" s="5">
        <f t="shared" si="41"/>
        <v>222999.13</v>
      </c>
      <c r="M107" s="5">
        <v>0</v>
      </c>
      <c r="N107" s="5">
        <v>0</v>
      </c>
      <c r="O107" s="5">
        <v>0</v>
      </c>
      <c r="P107"/>
    </row>
    <row r="108" spans="1:16" x14ac:dyDescent="0.2">
      <c r="A108" s="7">
        <v>10</v>
      </c>
      <c r="B108" s="5">
        <v>85735</v>
      </c>
      <c r="C108" s="5">
        <v>15469.33</v>
      </c>
      <c r="D108" s="5">
        <v>15</v>
      </c>
      <c r="E108" s="5">
        <v>944</v>
      </c>
      <c r="F108" s="5">
        <v>0</v>
      </c>
      <c r="G108" s="5">
        <f>1200+25</f>
        <v>1225</v>
      </c>
      <c r="H108" s="5">
        <v>3393</v>
      </c>
      <c r="I108" s="5">
        <v>29674.2</v>
      </c>
      <c r="J108" s="5">
        <v>25</v>
      </c>
      <c r="K108" s="5">
        <v>94204.51</v>
      </c>
      <c r="L108" s="5">
        <f t="shared" si="41"/>
        <v>230685.03999999998</v>
      </c>
      <c r="M108" s="5">
        <v>0</v>
      </c>
      <c r="N108" s="5">
        <v>0</v>
      </c>
      <c r="O108" s="5">
        <v>0</v>
      </c>
      <c r="P108"/>
    </row>
    <row r="109" spans="1:16" x14ac:dyDescent="0.2">
      <c r="A109" s="8">
        <v>11</v>
      </c>
      <c r="B109" s="5">
        <v>89331.56</v>
      </c>
      <c r="C109" s="5">
        <v>21792.16</v>
      </c>
      <c r="D109" s="5">
        <v>30</v>
      </c>
      <c r="E109" s="5">
        <v>499.5</v>
      </c>
      <c r="F109" s="5">
        <v>0</v>
      </c>
      <c r="G109" s="5">
        <v>5000</v>
      </c>
      <c r="H109" s="5">
        <v>1910</v>
      </c>
      <c r="I109" s="5">
        <f>27988.19-3</f>
        <v>27985.19</v>
      </c>
      <c r="J109" s="5">
        <v>2657</v>
      </c>
      <c r="K109" s="5">
        <v>0.39</v>
      </c>
      <c r="L109" s="5">
        <f t="shared" si="41"/>
        <v>149205.80000000002</v>
      </c>
      <c r="M109" s="5">
        <v>0</v>
      </c>
      <c r="N109" s="5">
        <v>0</v>
      </c>
      <c r="O109" s="5">
        <v>0</v>
      </c>
      <c r="P109"/>
    </row>
    <row r="110" spans="1:16" x14ac:dyDescent="0.2">
      <c r="A110" s="3" t="s">
        <v>8</v>
      </c>
      <c r="B110" s="10">
        <f t="shared" ref="B110:K110" si="42">SUM(B105:B109)</f>
        <v>463623.92</v>
      </c>
      <c r="C110" s="10">
        <f t="shared" si="42"/>
        <v>118832.68000000001</v>
      </c>
      <c r="D110" s="10">
        <f t="shared" si="42"/>
        <v>308</v>
      </c>
      <c r="E110" s="10">
        <f t="shared" si="42"/>
        <v>2311</v>
      </c>
      <c r="F110" s="10">
        <f t="shared" si="42"/>
        <v>66708.289999999994</v>
      </c>
      <c r="G110" s="10">
        <f t="shared" si="42"/>
        <v>93360</v>
      </c>
      <c r="H110" s="10">
        <f t="shared" si="42"/>
        <v>18011</v>
      </c>
      <c r="I110" s="10">
        <f t="shared" si="42"/>
        <v>146316.43</v>
      </c>
      <c r="J110" s="10">
        <f t="shared" si="42"/>
        <v>3094.5</v>
      </c>
      <c r="K110" s="10">
        <f t="shared" si="42"/>
        <v>94204.9</v>
      </c>
      <c r="L110" s="10">
        <f>SUM(L105:L109)</f>
        <v>1006770.72</v>
      </c>
      <c r="M110" s="10">
        <f t="shared" ref="M110" si="43">SUM(M105:M109)</f>
        <v>90000</v>
      </c>
      <c r="N110" s="10">
        <f t="shared" ref="N110:O110" si="44">SUM(N105:N109)</f>
        <v>0</v>
      </c>
      <c r="O110" s="10">
        <f t="shared" si="44"/>
        <v>45000</v>
      </c>
      <c r="P110"/>
    </row>
    <row r="111" spans="1:1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/>
    </row>
    <row r="112" spans="1:16" x14ac:dyDescent="0.2">
      <c r="A112" s="2">
        <v>14</v>
      </c>
      <c r="B112" s="5">
        <v>139464.66</v>
      </c>
      <c r="C112" s="5">
        <v>32717.5</v>
      </c>
      <c r="D112" s="5">
        <v>120</v>
      </c>
      <c r="E112" s="5">
        <v>276</v>
      </c>
      <c r="F112" s="5">
        <v>106.59</v>
      </c>
      <c r="G112" s="5">
        <f>1845+105</f>
        <v>1950</v>
      </c>
      <c r="H112" s="5">
        <v>6986</v>
      </c>
      <c r="I112" s="5">
        <v>71566.05</v>
      </c>
      <c r="J112" s="5">
        <v>-94</v>
      </c>
      <c r="K112" s="5">
        <v>0</v>
      </c>
      <c r="L112" s="5">
        <f t="shared" ref="L112:L116" si="45">SUM(B112:K112)</f>
        <v>253092.8</v>
      </c>
      <c r="M112" s="5">
        <v>75000</v>
      </c>
      <c r="N112" s="5">
        <v>0</v>
      </c>
      <c r="O112" s="5">
        <v>0</v>
      </c>
      <c r="P112"/>
    </row>
    <row r="113" spans="1:16" x14ac:dyDescent="0.2">
      <c r="A113" s="2">
        <v>15</v>
      </c>
      <c r="B113" s="5">
        <v>194190.89</v>
      </c>
      <c r="C113" s="5">
        <v>41557.51</v>
      </c>
      <c r="D113" s="5">
        <v>25</v>
      </c>
      <c r="E113" s="5">
        <v>252.5</v>
      </c>
      <c r="F113" s="5">
        <v>0</v>
      </c>
      <c r="G113" s="5">
        <v>33373</v>
      </c>
      <c r="H113" s="5">
        <v>1320.95</v>
      </c>
      <c r="I113" s="5">
        <v>35120.43</v>
      </c>
      <c r="J113" s="5">
        <v>0</v>
      </c>
      <c r="K113" s="5">
        <v>0</v>
      </c>
      <c r="L113" s="5">
        <f t="shared" si="45"/>
        <v>305840.28000000003</v>
      </c>
      <c r="M113" s="5">
        <v>0</v>
      </c>
      <c r="N113" s="5">
        <v>0</v>
      </c>
      <c r="O113" s="5">
        <v>0</v>
      </c>
      <c r="P113"/>
    </row>
    <row r="114" spans="1:16" x14ac:dyDescent="0.2">
      <c r="A114" s="2">
        <v>16</v>
      </c>
      <c r="B114" s="5">
        <v>140815</v>
      </c>
      <c r="C114" s="5">
        <v>42929.42</v>
      </c>
      <c r="D114" s="5">
        <v>160</v>
      </c>
      <c r="E114" s="5">
        <v>213.5</v>
      </c>
      <c r="F114" s="5">
        <v>0</v>
      </c>
      <c r="G114" s="5">
        <v>3000</v>
      </c>
      <c r="H114" s="5">
        <v>1365</v>
      </c>
      <c r="I114" s="5">
        <v>39125</v>
      </c>
      <c r="J114" s="5">
        <v>25</v>
      </c>
      <c r="K114" s="5">
        <v>0</v>
      </c>
      <c r="L114" s="5">
        <f t="shared" si="45"/>
        <v>227632.91999999998</v>
      </c>
      <c r="M114" s="5">
        <v>0</v>
      </c>
      <c r="N114" s="5">
        <v>0</v>
      </c>
      <c r="O114" s="5">
        <v>0</v>
      </c>
      <c r="P114"/>
    </row>
    <row r="115" spans="1:16" x14ac:dyDescent="0.2">
      <c r="A115" s="2">
        <v>17</v>
      </c>
      <c r="B115" s="5">
        <v>82345.98</v>
      </c>
      <c r="C115" s="5">
        <v>30962.16</v>
      </c>
      <c r="D115" s="5">
        <v>30</v>
      </c>
      <c r="E115" s="5">
        <v>181</v>
      </c>
      <c r="F115" s="5">
        <v>68974.39</v>
      </c>
      <c r="G115" s="5">
        <f>75-16600</f>
        <v>-16525</v>
      </c>
      <c r="H115" s="5">
        <v>1375</v>
      </c>
      <c r="I115" s="5">
        <v>39313.33</v>
      </c>
      <c r="J115" s="5">
        <v>100</v>
      </c>
      <c r="K115" s="5">
        <v>0</v>
      </c>
      <c r="L115" s="5">
        <f t="shared" si="45"/>
        <v>206756.86</v>
      </c>
      <c r="M115" s="5">
        <v>16600</v>
      </c>
      <c r="N115" s="5">
        <v>0</v>
      </c>
      <c r="O115" s="5">
        <v>0</v>
      </c>
      <c r="P115"/>
    </row>
    <row r="116" spans="1:16" x14ac:dyDescent="0.2">
      <c r="A116" s="2">
        <v>18</v>
      </c>
      <c r="B116" s="5">
        <v>42886.92</v>
      </c>
      <c r="C116" s="5">
        <v>20581.099999999999</v>
      </c>
      <c r="D116" s="5">
        <v>5</v>
      </c>
      <c r="E116" s="5">
        <v>66</v>
      </c>
      <c r="F116" s="5">
        <v>0</v>
      </c>
      <c r="G116" s="5">
        <v>34400</v>
      </c>
      <c r="H116" s="5">
        <v>1458</v>
      </c>
      <c r="I116" s="5">
        <f>36239.01+10</f>
        <v>36249.01</v>
      </c>
      <c r="J116" s="5">
        <v>-115</v>
      </c>
      <c r="K116" s="5">
        <v>0</v>
      </c>
      <c r="L116" s="5">
        <f t="shared" si="45"/>
        <v>135531.03</v>
      </c>
      <c r="M116" s="5">
        <v>0</v>
      </c>
      <c r="N116" s="5">
        <v>0</v>
      </c>
      <c r="O116" s="5">
        <v>0</v>
      </c>
      <c r="P116"/>
    </row>
    <row r="117" spans="1:16" x14ac:dyDescent="0.2">
      <c r="A117" s="3" t="s">
        <v>8</v>
      </c>
      <c r="B117" s="10">
        <f t="shared" ref="B117:K117" si="46">SUM(B112:B116)</f>
        <v>599703.45000000007</v>
      </c>
      <c r="C117" s="10">
        <f t="shared" si="46"/>
        <v>168747.69</v>
      </c>
      <c r="D117" s="10">
        <f t="shared" si="46"/>
        <v>340</v>
      </c>
      <c r="E117" s="10">
        <f t="shared" si="46"/>
        <v>989</v>
      </c>
      <c r="F117" s="10">
        <f t="shared" si="46"/>
        <v>69080.98</v>
      </c>
      <c r="G117" s="10">
        <f t="shared" si="46"/>
        <v>56198</v>
      </c>
      <c r="H117" s="10">
        <f t="shared" si="46"/>
        <v>12504.95</v>
      </c>
      <c r="I117" s="10">
        <f t="shared" si="46"/>
        <v>221373.82</v>
      </c>
      <c r="J117" s="10">
        <f t="shared" si="46"/>
        <v>-84</v>
      </c>
      <c r="K117" s="10">
        <f t="shared" si="46"/>
        <v>0</v>
      </c>
      <c r="L117" s="10">
        <f>SUM(L112:L116)</f>
        <v>1128853.8899999999</v>
      </c>
      <c r="M117" s="10">
        <f t="shared" ref="M117" si="47">SUM(M112:M116)</f>
        <v>91600</v>
      </c>
      <c r="N117" s="10">
        <f>SUM(N112:N116)</f>
        <v>0</v>
      </c>
      <c r="O117" s="10">
        <f>SUM(O112:O116)</f>
        <v>0</v>
      </c>
      <c r="P117"/>
    </row>
    <row r="118" spans="1:1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/>
    </row>
    <row r="119" spans="1:16" x14ac:dyDescent="0.2">
      <c r="A119" s="2">
        <v>21</v>
      </c>
      <c r="B119" s="5">
        <v>62570.75</v>
      </c>
      <c r="C119" s="5">
        <v>15639.2</v>
      </c>
      <c r="D119" s="5">
        <f>90+218662.61+402</f>
        <v>219154.61</v>
      </c>
      <c r="E119" s="5">
        <v>117</v>
      </c>
      <c r="F119" s="5">
        <v>0</v>
      </c>
      <c r="G119" s="5">
        <v>61840</v>
      </c>
      <c r="H119" s="5">
        <v>11371</v>
      </c>
      <c r="I119" s="5">
        <v>71324.899999999994</v>
      </c>
      <c r="J119" s="5">
        <v>25</v>
      </c>
      <c r="K119" s="5">
        <v>850.18</v>
      </c>
      <c r="L119" s="5">
        <f t="shared" ref="L119:L123" si="48">SUM(B119:K119)</f>
        <v>442892.63999999996</v>
      </c>
      <c r="M119" s="5">
        <v>0</v>
      </c>
      <c r="N119" s="5">
        <v>0</v>
      </c>
      <c r="O119" s="5">
        <v>0</v>
      </c>
      <c r="P119"/>
    </row>
    <row r="120" spans="1:16" x14ac:dyDescent="0.2">
      <c r="A120" s="2">
        <v>22</v>
      </c>
      <c r="B120" s="5">
        <v>117325.36</v>
      </c>
      <c r="C120" s="5">
        <v>57959.16</v>
      </c>
      <c r="D120" s="5">
        <v>0</v>
      </c>
      <c r="E120" s="5">
        <v>65</v>
      </c>
      <c r="F120" s="5">
        <v>0</v>
      </c>
      <c r="G120" s="5">
        <v>26200</v>
      </c>
      <c r="H120" s="5">
        <v>1528</v>
      </c>
      <c r="I120" s="5">
        <f>36302.5-250</f>
        <v>36052.5</v>
      </c>
      <c r="J120" s="5">
        <v>0</v>
      </c>
      <c r="K120" s="5">
        <v>5369.78</v>
      </c>
      <c r="L120" s="5">
        <f t="shared" si="48"/>
        <v>244499.80000000002</v>
      </c>
      <c r="M120" s="5">
        <f>200+250</f>
        <v>450</v>
      </c>
      <c r="N120" s="5">
        <v>0</v>
      </c>
      <c r="O120" s="5">
        <v>0</v>
      </c>
      <c r="P120"/>
    </row>
    <row r="121" spans="1:16" x14ac:dyDescent="0.2">
      <c r="A121" s="2">
        <v>23</v>
      </c>
      <c r="B121" s="5">
        <v>172105.5</v>
      </c>
      <c r="C121" s="5">
        <v>36440</v>
      </c>
      <c r="D121" s="5">
        <v>30</v>
      </c>
      <c r="E121" s="5">
        <v>0</v>
      </c>
      <c r="F121" s="5">
        <v>56800</v>
      </c>
      <c r="G121" s="5">
        <v>2850</v>
      </c>
      <c r="H121" s="5">
        <v>6285</v>
      </c>
      <c r="I121" s="5">
        <v>9184</v>
      </c>
      <c r="J121" s="5">
        <v>10</v>
      </c>
      <c r="K121" s="5">
        <v>0</v>
      </c>
      <c r="L121" s="5">
        <f t="shared" si="48"/>
        <v>283704.5</v>
      </c>
      <c r="M121" s="5">
        <v>76600</v>
      </c>
      <c r="N121" s="5">
        <v>0</v>
      </c>
      <c r="O121" s="5">
        <v>0</v>
      </c>
      <c r="P121"/>
    </row>
    <row r="122" spans="1:16" x14ac:dyDescent="0.2">
      <c r="A122" s="2">
        <v>24</v>
      </c>
      <c r="B122" s="5">
        <v>97084.91</v>
      </c>
      <c r="C122" s="5">
        <v>29064.3</v>
      </c>
      <c r="D122" s="5">
        <v>0</v>
      </c>
      <c r="E122" s="5">
        <v>30</v>
      </c>
      <c r="F122" s="5">
        <v>771486.57</v>
      </c>
      <c r="G122" s="5">
        <v>2300</v>
      </c>
      <c r="H122" s="5">
        <v>1864.16</v>
      </c>
      <c r="I122" s="5">
        <v>22331.759999999998</v>
      </c>
      <c r="J122" s="5">
        <v>85</v>
      </c>
      <c r="K122" s="5">
        <v>0</v>
      </c>
      <c r="L122" s="5">
        <f t="shared" si="48"/>
        <v>924246.7</v>
      </c>
      <c r="M122" s="5">
        <v>28513.43</v>
      </c>
      <c r="N122" s="5">
        <v>0</v>
      </c>
      <c r="O122" s="5">
        <v>0</v>
      </c>
      <c r="P122"/>
    </row>
    <row r="123" spans="1:16" x14ac:dyDescent="0.2">
      <c r="A123" s="2">
        <v>25</v>
      </c>
      <c r="B123" s="5">
        <v>37395.53</v>
      </c>
      <c r="C123" s="5">
        <v>23213</v>
      </c>
      <c r="D123" s="5">
        <v>0</v>
      </c>
      <c r="E123" s="5">
        <v>4.5</v>
      </c>
      <c r="F123" s="5">
        <v>0</v>
      </c>
      <c r="G123" s="5">
        <v>7975</v>
      </c>
      <c r="H123" s="5">
        <v>890.48</v>
      </c>
      <c r="I123" s="5">
        <v>27251.17</v>
      </c>
      <c r="J123" s="5">
        <v>25</v>
      </c>
      <c r="K123" s="5">
        <v>0</v>
      </c>
      <c r="L123" s="5">
        <f t="shared" si="48"/>
        <v>96754.68</v>
      </c>
      <c r="M123" s="5">
        <v>0</v>
      </c>
      <c r="N123" s="5">
        <v>0</v>
      </c>
      <c r="O123" s="5">
        <v>0</v>
      </c>
      <c r="P123"/>
    </row>
    <row r="124" spans="1:16" x14ac:dyDescent="0.2">
      <c r="A124" s="3" t="s">
        <v>8</v>
      </c>
      <c r="B124" s="10">
        <f t="shared" ref="B124:K124" si="49">SUM(B119:B123)</f>
        <v>486482.05000000005</v>
      </c>
      <c r="C124" s="10">
        <f t="shared" si="49"/>
        <v>162315.66</v>
      </c>
      <c r="D124" s="10">
        <f t="shared" si="49"/>
        <v>219184.61</v>
      </c>
      <c r="E124" s="10">
        <f t="shared" si="49"/>
        <v>216.5</v>
      </c>
      <c r="F124" s="10">
        <f t="shared" si="49"/>
        <v>828286.57</v>
      </c>
      <c r="G124" s="10">
        <f t="shared" si="49"/>
        <v>101165</v>
      </c>
      <c r="H124" s="10">
        <f t="shared" si="49"/>
        <v>21938.639999999999</v>
      </c>
      <c r="I124" s="10">
        <f t="shared" si="49"/>
        <v>166144.33000000002</v>
      </c>
      <c r="J124" s="10">
        <f t="shared" si="49"/>
        <v>145</v>
      </c>
      <c r="K124" s="10">
        <f t="shared" si="49"/>
        <v>6219.96</v>
      </c>
      <c r="L124" s="10">
        <f>SUM(L119:L123)</f>
        <v>1992098.3199999998</v>
      </c>
      <c r="M124" s="10">
        <f t="shared" ref="M124" si="50">SUM(M119:M123)</f>
        <v>105563.43</v>
      </c>
      <c r="N124" s="10">
        <f>SUM(N119:N122)</f>
        <v>0</v>
      </c>
      <c r="O124" s="10">
        <f>SUM(O119:O122)</f>
        <v>0</v>
      </c>
      <c r="P124"/>
    </row>
    <row r="125" spans="1:1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5"/>
      <c r="O125" s="5"/>
      <c r="P125"/>
    </row>
    <row r="126" spans="1:16" x14ac:dyDescent="0.2">
      <c r="A126" s="2">
        <v>28</v>
      </c>
      <c r="B126" s="5">
        <v>63126.12</v>
      </c>
      <c r="C126" s="5">
        <v>57465.2</v>
      </c>
      <c r="D126" s="5">
        <v>180</v>
      </c>
      <c r="E126" s="5">
        <v>75</v>
      </c>
      <c r="F126" s="5">
        <v>0</v>
      </c>
      <c r="G126" s="5">
        <v>3590</v>
      </c>
      <c r="H126" s="5">
        <v>3899.16</v>
      </c>
      <c r="I126" s="5">
        <v>71758.63</v>
      </c>
      <c r="J126" s="5">
        <v>45</v>
      </c>
      <c r="K126" s="5">
        <v>0</v>
      </c>
      <c r="L126" s="5">
        <f t="shared" ref="L126:L129" si="51">SUM(B126:K126)</f>
        <v>200139.11000000002</v>
      </c>
      <c r="M126" s="5">
        <v>0</v>
      </c>
      <c r="N126" s="5">
        <v>0</v>
      </c>
      <c r="O126" s="5">
        <v>0</v>
      </c>
      <c r="P126"/>
    </row>
    <row r="127" spans="1:16" x14ac:dyDescent="0.2">
      <c r="A127" s="2">
        <v>29</v>
      </c>
      <c r="B127" s="5">
        <v>134801.82</v>
      </c>
      <c r="C127" s="5">
        <v>45207.02</v>
      </c>
      <c r="D127" s="5">
        <v>205</v>
      </c>
      <c r="E127" s="5">
        <v>220</v>
      </c>
      <c r="F127" s="5">
        <v>0</v>
      </c>
      <c r="G127" s="5">
        <v>52000</v>
      </c>
      <c r="H127" s="5">
        <v>15690</v>
      </c>
      <c r="I127" s="5">
        <v>109208.96000000001</v>
      </c>
      <c r="J127" s="5">
        <v>135</v>
      </c>
      <c r="K127" s="5">
        <v>0</v>
      </c>
      <c r="L127" s="5">
        <f t="shared" si="51"/>
        <v>357467.8</v>
      </c>
      <c r="M127" s="5">
        <v>0</v>
      </c>
      <c r="N127" s="5">
        <v>0</v>
      </c>
      <c r="O127" s="5">
        <v>0</v>
      </c>
      <c r="P127"/>
    </row>
    <row r="128" spans="1:16" x14ac:dyDescent="0.2">
      <c r="A128" s="2">
        <v>30</v>
      </c>
      <c r="B128" s="5">
        <v>90239.18</v>
      </c>
      <c r="C128" s="5">
        <v>31117.16</v>
      </c>
      <c r="D128" s="5">
        <v>0</v>
      </c>
      <c r="E128" s="5">
        <v>202</v>
      </c>
      <c r="F128" s="5">
        <f>93866.73+33496.05</f>
        <v>127362.78</v>
      </c>
      <c r="G128" s="5">
        <v>9250</v>
      </c>
      <c r="H128" s="5">
        <v>13040</v>
      </c>
      <c r="I128" s="5">
        <v>38616.61</v>
      </c>
      <c r="J128" s="5">
        <v>659</v>
      </c>
      <c r="K128" s="5">
        <v>42278.34</v>
      </c>
      <c r="L128" s="5">
        <f t="shared" si="51"/>
        <v>352765.06999999995</v>
      </c>
      <c r="M128" s="5">
        <v>0</v>
      </c>
      <c r="N128" s="5">
        <v>45000</v>
      </c>
      <c r="O128" s="5">
        <v>0</v>
      </c>
      <c r="P128"/>
    </row>
    <row r="129" spans="1:16" x14ac:dyDescent="0.2">
      <c r="A129" s="2">
        <v>31</v>
      </c>
      <c r="B129" s="5">
        <v>161702.16</v>
      </c>
      <c r="C129" s="5">
        <v>46048.59</v>
      </c>
      <c r="D129" s="5">
        <v>0</v>
      </c>
      <c r="E129" s="5">
        <f>149+222</f>
        <v>371</v>
      </c>
      <c r="F129" s="5">
        <v>63400</v>
      </c>
      <c r="G129" s="5">
        <f>2050+55000</f>
        <v>57050</v>
      </c>
      <c r="H129" s="5">
        <f>2438+4423</f>
        <v>6861</v>
      </c>
      <c r="I129" s="5">
        <f>40236.45+90209.79</f>
        <v>130446.23999999999</v>
      </c>
      <c r="J129" s="5">
        <v>10</v>
      </c>
      <c r="K129" s="5">
        <v>21996.81</v>
      </c>
      <c r="L129" s="5">
        <f t="shared" si="51"/>
        <v>487885.8</v>
      </c>
      <c r="M129" s="5">
        <v>0</v>
      </c>
      <c r="N129" s="5">
        <v>0</v>
      </c>
      <c r="O129" s="5">
        <v>0</v>
      </c>
      <c r="P129"/>
    </row>
    <row r="130" spans="1:16" x14ac:dyDescent="0.2">
      <c r="A130" s="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/>
    </row>
    <row r="131" spans="1:16" x14ac:dyDescent="0.2">
      <c r="A131" s="3" t="s">
        <v>8</v>
      </c>
      <c r="B131" s="10">
        <f t="shared" ref="B131:M131" si="52">SUM(B126:B130)</f>
        <v>449869.28</v>
      </c>
      <c r="C131" s="10">
        <f t="shared" si="52"/>
        <v>179837.97</v>
      </c>
      <c r="D131" s="10">
        <f t="shared" si="52"/>
        <v>385</v>
      </c>
      <c r="E131" s="10">
        <f t="shared" si="52"/>
        <v>868</v>
      </c>
      <c r="F131" s="10">
        <f t="shared" si="52"/>
        <v>190762.78</v>
      </c>
      <c r="G131" s="10">
        <f t="shared" si="52"/>
        <v>121890</v>
      </c>
      <c r="H131" s="10">
        <f t="shared" si="52"/>
        <v>39490.160000000003</v>
      </c>
      <c r="I131" s="10">
        <f t="shared" si="52"/>
        <v>350030.44</v>
      </c>
      <c r="J131" s="10">
        <f t="shared" si="52"/>
        <v>849</v>
      </c>
      <c r="K131" s="10">
        <f t="shared" si="52"/>
        <v>64275.149999999994</v>
      </c>
      <c r="L131" s="10">
        <f t="shared" si="52"/>
        <v>1398257.78</v>
      </c>
      <c r="M131" s="10">
        <f t="shared" si="52"/>
        <v>0</v>
      </c>
      <c r="N131" s="10">
        <f>SUM(N125:N130)</f>
        <v>45000</v>
      </c>
      <c r="O131" s="10">
        <f>SUM(O125:O128)</f>
        <v>0</v>
      </c>
      <c r="P131"/>
    </row>
    <row r="132" spans="1:1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6"/>
      <c r="P132"/>
    </row>
    <row r="133" spans="1:16" x14ac:dyDescent="0.2">
      <c r="A133" s="2" t="s">
        <v>9</v>
      </c>
      <c r="B133" s="29">
        <v>0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5">
        <f t="shared" ref="L133:L134" si="53">SUM(B133:K133)</f>
        <v>0</v>
      </c>
      <c r="M133" s="29">
        <v>0</v>
      </c>
      <c r="N133" s="29">
        <v>0</v>
      </c>
      <c r="O133" s="29">
        <v>0</v>
      </c>
      <c r="P133"/>
    </row>
    <row r="134" spans="1:16" x14ac:dyDescent="0.2">
      <c r="A134" s="2" t="s">
        <v>10</v>
      </c>
      <c r="B134" s="29">
        <f>-507-715-455-1380-85-225</f>
        <v>-3367</v>
      </c>
      <c r="C134" s="29">
        <f>-585-208-150-118-435</f>
        <v>-1496</v>
      </c>
      <c r="D134" s="29">
        <f>-110-145-110-79</f>
        <v>-444</v>
      </c>
      <c r="E134" s="29">
        <v>0</v>
      </c>
      <c r="F134" s="29">
        <v>0</v>
      </c>
      <c r="G134" s="29">
        <v>0</v>
      </c>
      <c r="H134" s="29">
        <v>0</v>
      </c>
      <c r="I134" s="29">
        <f>-675-635-3516-1598-1279-3250-175</f>
        <v>-11128</v>
      </c>
      <c r="J134" s="29">
        <v>0</v>
      </c>
      <c r="K134" s="29">
        <v>0</v>
      </c>
      <c r="L134" s="5">
        <f t="shared" si="53"/>
        <v>-16435</v>
      </c>
      <c r="M134" s="29">
        <v>0</v>
      </c>
      <c r="N134" s="29">
        <v>0</v>
      </c>
      <c r="O134" s="29">
        <v>0</v>
      </c>
      <c r="P134"/>
    </row>
    <row r="135" spans="1:16" x14ac:dyDescent="0.2">
      <c r="A135" s="2"/>
      <c r="B135" s="2"/>
      <c r="C135" s="2"/>
      <c r="D135" s="2"/>
      <c r="E135" s="2"/>
      <c r="F135" s="2"/>
      <c r="G135" s="2"/>
      <c r="H135" s="2"/>
      <c r="I135" s="2"/>
      <c r="K135" s="25"/>
      <c r="P135"/>
    </row>
    <row r="136" spans="1:16" x14ac:dyDescent="0.2">
      <c r="A136" s="3" t="s">
        <v>6</v>
      </c>
      <c r="B136" s="10">
        <f t="shared" ref="B136:I136" si="54">+B103+B110+B117+B124+B131+B133+B134</f>
        <v>2103301.16</v>
      </c>
      <c r="C136" s="10">
        <f t="shared" si="54"/>
        <v>668433.31999999995</v>
      </c>
      <c r="D136" s="10">
        <f t="shared" si="54"/>
        <v>220018.61</v>
      </c>
      <c r="E136" s="10">
        <f t="shared" si="54"/>
        <v>5367.5</v>
      </c>
      <c r="F136" s="10">
        <f t="shared" si="54"/>
        <v>3154838.6199999996</v>
      </c>
      <c r="G136" s="10">
        <f t="shared" si="54"/>
        <v>422463</v>
      </c>
      <c r="H136" s="10">
        <f t="shared" si="54"/>
        <v>99483.75</v>
      </c>
      <c r="I136" s="10">
        <f t="shared" si="54"/>
        <v>972022.7</v>
      </c>
      <c r="J136" s="10">
        <f t="shared" ref="J136:O136" si="55">+J131+J124+J117+J110+J103+J133+J134</f>
        <v>4114.5</v>
      </c>
      <c r="K136" s="10">
        <f t="shared" si="55"/>
        <v>164700.01</v>
      </c>
      <c r="L136" s="10">
        <f t="shared" si="55"/>
        <v>7814743.169999999</v>
      </c>
      <c r="M136" s="10">
        <f t="shared" si="55"/>
        <v>287763.43</v>
      </c>
      <c r="N136" s="10">
        <f t="shared" si="55"/>
        <v>45000</v>
      </c>
      <c r="O136" s="10">
        <f t="shared" si="55"/>
        <v>45000</v>
      </c>
      <c r="P136"/>
    </row>
    <row r="137" spans="1:16" x14ac:dyDescent="0.2">
      <c r="B137" s="1"/>
      <c r="C137" s="1"/>
      <c r="D137" s="1"/>
      <c r="E137" s="1"/>
      <c r="F137" s="1"/>
      <c r="G137" s="1"/>
      <c r="H137" s="1"/>
      <c r="I137" s="2"/>
      <c r="P137"/>
    </row>
    <row r="138" spans="1:16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P138"/>
    </row>
    <row r="139" spans="1:16" x14ac:dyDescent="0.2">
      <c r="A139" s="11" t="s">
        <v>23</v>
      </c>
      <c r="B139" s="9"/>
      <c r="C139" s="9"/>
      <c r="D139" s="2"/>
      <c r="E139" s="2"/>
      <c r="F139" s="11" t="s">
        <v>0</v>
      </c>
      <c r="G139" s="2"/>
      <c r="H139" s="2"/>
      <c r="I139" s="2"/>
      <c r="P139"/>
    </row>
    <row r="140" spans="1:16" x14ac:dyDescent="0.2">
      <c r="A140" s="9"/>
      <c r="B140" s="9"/>
      <c r="C140" s="9"/>
      <c r="D140" s="2"/>
      <c r="E140" s="2"/>
      <c r="F140" s="11" t="s">
        <v>1</v>
      </c>
      <c r="G140" s="2"/>
      <c r="H140" s="2"/>
      <c r="I140" s="2"/>
      <c r="P140"/>
    </row>
    <row r="141" spans="1:16" x14ac:dyDescent="0.2">
      <c r="A141" s="2"/>
      <c r="B141" s="2"/>
      <c r="C141" s="2"/>
      <c r="D141" s="2"/>
      <c r="E141" s="2"/>
      <c r="F141" s="2"/>
      <c r="G141" s="2"/>
      <c r="H141" s="2"/>
      <c r="I141" s="2"/>
      <c r="P141"/>
    </row>
    <row r="142" spans="1:16" x14ac:dyDescent="0.2">
      <c r="A142" s="4"/>
      <c r="B142" s="11" t="s">
        <v>2</v>
      </c>
      <c r="C142" s="11" t="s">
        <v>38</v>
      </c>
      <c r="D142" s="11" t="s">
        <v>44</v>
      </c>
      <c r="E142" s="11" t="s">
        <v>41</v>
      </c>
      <c r="F142" s="11" t="s">
        <v>4</v>
      </c>
      <c r="G142" s="11" t="s">
        <v>36</v>
      </c>
      <c r="H142" s="11" t="s">
        <v>3</v>
      </c>
      <c r="I142" s="11" t="s">
        <v>40</v>
      </c>
      <c r="J142" s="11" t="s">
        <v>45</v>
      </c>
      <c r="K142" s="11" t="s">
        <v>5</v>
      </c>
      <c r="L142" s="11" t="s">
        <v>6</v>
      </c>
      <c r="M142" s="11" t="s">
        <v>46</v>
      </c>
      <c r="N142" s="11" t="s">
        <v>48</v>
      </c>
      <c r="O142" s="11" t="s">
        <v>49</v>
      </c>
      <c r="P142"/>
    </row>
    <row r="143" spans="1:16" x14ac:dyDescent="0.2">
      <c r="A143" s="2"/>
      <c r="B143" s="2"/>
      <c r="C143" s="2"/>
      <c r="D143" s="2"/>
      <c r="F143" s="2"/>
      <c r="G143" s="2"/>
      <c r="H143" s="2"/>
      <c r="J143" s="2"/>
      <c r="K143" s="2"/>
      <c r="L143" s="2"/>
      <c r="M143" s="2"/>
      <c r="N143" s="2"/>
      <c r="O143" s="2"/>
      <c r="P143"/>
    </row>
    <row r="144" spans="1:16" x14ac:dyDescent="0.2">
      <c r="A144" s="2"/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f>SUM(B144:K144)</f>
        <v>0</v>
      </c>
      <c r="M144" s="5">
        <v>0</v>
      </c>
      <c r="N144" s="5">
        <v>0</v>
      </c>
      <c r="O144" s="5">
        <v>0</v>
      </c>
      <c r="P144"/>
    </row>
    <row r="145" spans="1:16" x14ac:dyDescent="0.2">
      <c r="A145" s="2"/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f t="shared" ref="L145:L148" si="56">SUM(B145:K145)</f>
        <v>0</v>
      </c>
      <c r="M145" s="5">
        <v>0</v>
      </c>
      <c r="N145" s="5">
        <v>0</v>
      </c>
      <c r="O145" s="5">
        <v>0</v>
      </c>
      <c r="P145"/>
    </row>
    <row r="146" spans="1:16" x14ac:dyDescent="0.2">
      <c r="A146" s="2"/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f t="shared" si="56"/>
        <v>0</v>
      </c>
      <c r="M146" s="5">
        <v>0</v>
      </c>
      <c r="N146" s="5">
        <v>0</v>
      </c>
      <c r="O146" s="5">
        <v>0</v>
      </c>
      <c r="P146"/>
    </row>
    <row r="147" spans="1:16" x14ac:dyDescent="0.2">
      <c r="A147" s="7"/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f t="shared" si="56"/>
        <v>0</v>
      </c>
      <c r="M147" s="5">
        <v>0</v>
      </c>
      <c r="N147" s="5">
        <v>0</v>
      </c>
      <c r="O147" s="5">
        <v>0</v>
      </c>
      <c r="P147"/>
    </row>
    <row r="148" spans="1:16" x14ac:dyDescent="0.2">
      <c r="A148" s="7">
        <v>1</v>
      </c>
      <c r="B148" s="5">
        <v>22029.26</v>
      </c>
      <c r="C148" s="5">
        <v>0</v>
      </c>
      <c r="D148" s="5">
        <v>0</v>
      </c>
      <c r="E148" s="5">
        <v>0</v>
      </c>
      <c r="F148" s="5">
        <v>2300000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f t="shared" si="56"/>
        <v>2322029.2599999998</v>
      </c>
      <c r="M148" s="5">
        <v>0</v>
      </c>
      <c r="N148" s="5">
        <v>0</v>
      </c>
      <c r="O148" s="5">
        <v>0</v>
      </c>
      <c r="P148"/>
    </row>
    <row r="149" spans="1:16" x14ac:dyDescent="0.2">
      <c r="A149" s="3" t="s">
        <v>8</v>
      </c>
      <c r="B149" s="10">
        <f t="shared" ref="B149:K149" si="57">SUM(B144:B148)</f>
        <v>22029.26</v>
      </c>
      <c r="C149" s="10">
        <f t="shared" si="57"/>
        <v>0</v>
      </c>
      <c r="D149" s="10">
        <f t="shared" si="57"/>
        <v>0</v>
      </c>
      <c r="E149" s="10">
        <f t="shared" si="57"/>
        <v>0</v>
      </c>
      <c r="F149" s="10">
        <f t="shared" si="57"/>
        <v>2300000</v>
      </c>
      <c r="G149" s="10">
        <f t="shared" si="57"/>
        <v>0</v>
      </c>
      <c r="H149" s="10">
        <f t="shared" si="57"/>
        <v>0</v>
      </c>
      <c r="I149" s="10">
        <f t="shared" si="57"/>
        <v>0</v>
      </c>
      <c r="J149" s="10">
        <f t="shared" si="57"/>
        <v>0</v>
      </c>
      <c r="K149" s="10">
        <f t="shared" si="57"/>
        <v>0</v>
      </c>
      <c r="L149" s="10">
        <f>SUM(L144:L148)</f>
        <v>2322029.2599999998</v>
      </c>
      <c r="M149" s="10">
        <f t="shared" ref="M149" si="58">SUM(M144:M148)</f>
        <v>0</v>
      </c>
      <c r="N149" s="10">
        <f>SUM(N145:N148)</f>
        <v>0</v>
      </c>
      <c r="O149" s="10">
        <f>SUM(O145:O148)</f>
        <v>0</v>
      </c>
      <c r="P149"/>
    </row>
    <row r="150" spans="1:1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/>
    </row>
    <row r="151" spans="1:16" x14ac:dyDescent="0.2">
      <c r="A151" s="7">
        <v>4</v>
      </c>
      <c r="B151" s="5">
        <f>77043.48-55</f>
        <v>76988.479999999996</v>
      </c>
      <c r="C151" s="5">
        <v>25082.26</v>
      </c>
      <c r="D151" s="5">
        <v>150</v>
      </c>
      <c r="E151" s="5">
        <v>447.5</v>
      </c>
      <c r="F151" s="5">
        <v>0</v>
      </c>
      <c r="G151" s="5">
        <f>2350-600</f>
        <v>1750</v>
      </c>
      <c r="H151" s="5">
        <v>6292</v>
      </c>
      <c r="I151" s="5">
        <v>65618.8</v>
      </c>
      <c r="J151" s="5">
        <v>25</v>
      </c>
      <c r="K151" s="5">
        <v>0</v>
      </c>
      <c r="L151" s="5">
        <f t="shared" ref="L151:L155" si="59">SUM(B151:K151)</f>
        <v>176354.03999999998</v>
      </c>
      <c r="M151" s="5">
        <v>600</v>
      </c>
      <c r="N151" s="5">
        <v>0</v>
      </c>
      <c r="O151" s="5">
        <v>0</v>
      </c>
      <c r="P151"/>
    </row>
    <row r="152" spans="1:16" x14ac:dyDescent="0.2">
      <c r="A152" s="7">
        <v>5</v>
      </c>
      <c r="B152" s="5">
        <v>158052.28</v>
      </c>
      <c r="C152" s="5">
        <v>41557.440000000002</v>
      </c>
      <c r="D152" s="5">
        <v>60</v>
      </c>
      <c r="E152" s="5">
        <v>0</v>
      </c>
      <c r="F152" s="5">
        <f>5750+1000</f>
        <v>6750</v>
      </c>
      <c r="G152" s="5">
        <v>37250</v>
      </c>
      <c r="H152" s="5">
        <v>1226</v>
      </c>
      <c r="I152" s="5">
        <f>11293.67-1000</f>
        <v>10293.67</v>
      </c>
      <c r="J152" s="5">
        <v>0</v>
      </c>
      <c r="K152" s="5">
        <v>0</v>
      </c>
      <c r="L152" s="5">
        <f t="shared" si="59"/>
        <v>255189.39</v>
      </c>
      <c r="M152" s="5">
        <v>0</v>
      </c>
      <c r="N152" s="5">
        <v>0</v>
      </c>
      <c r="O152" s="5">
        <v>0</v>
      </c>
      <c r="P152"/>
    </row>
    <row r="153" spans="1:16" x14ac:dyDescent="0.2">
      <c r="A153" s="7">
        <v>6</v>
      </c>
      <c r="B153" s="5">
        <v>80533.16</v>
      </c>
      <c r="C153" s="5">
        <v>23383.72</v>
      </c>
      <c r="D153" s="5">
        <v>90</v>
      </c>
      <c r="E153" s="5">
        <v>40</v>
      </c>
      <c r="F153" s="5">
        <v>0</v>
      </c>
      <c r="G153" s="5">
        <v>13450</v>
      </c>
      <c r="H153" s="5">
        <v>1690</v>
      </c>
      <c r="I153" s="5">
        <v>9991.36</v>
      </c>
      <c r="J153" s="5">
        <v>0</v>
      </c>
      <c r="K153" s="5">
        <v>0</v>
      </c>
      <c r="L153" s="5">
        <f t="shared" si="59"/>
        <v>129178.24000000001</v>
      </c>
      <c r="M153" s="5">
        <v>0</v>
      </c>
      <c r="N153" s="5">
        <v>0</v>
      </c>
      <c r="O153" s="5">
        <v>0</v>
      </c>
      <c r="P153"/>
    </row>
    <row r="154" spans="1:16" x14ac:dyDescent="0.2">
      <c r="A154" s="7">
        <v>7</v>
      </c>
      <c r="B154" s="5">
        <v>80104.02</v>
      </c>
      <c r="C154" s="5">
        <v>42980.26</v>
      </c>
      <c r="D154" s="5">
        <v>30</v>
      </c>
      <c r="E154" s="5">
        <v>119.5</v>
      </c>
      <c r="F154" s="5">
        <v>0</v>
      </c>
      <c r="G154" s="5">
        <v>1600</v>
      </c>
      <c r="H154" s="5">
        <v>2190</v>
      </c>
      <c r="I154" s="5">
        <v>23894.66</v>
      </c>
      <c r="J154" s="5">
        <v>117.5</v>
      </c>
      <c r="K154" s="5">
        <v>0</v>
      </c>
      <c r="L154" s="5">
        <f t="shared" si="59"/>
        <v>151035.94</v>
      </c>
      <c r="M154" s="5">
        <v>0</v>
      </c>
      <c r="N154" s="5">
        <v>0</v>
      </c>
      <c r="O154" s="5">
        <v>0</v>
      </c>
      <c r="P154"/>
    </row>
    <row r="155" spans="1:16" x14ac:dyDescent="0.2">
      <c r="A155" s="8">
        <v>8</v>
      </c>
      <c r="B155" s="5">
        <v>35246.18</v>
      </c>
      <c r="C155" s="5">
        <v>17077.36</v>
      </c>
      <c r="D155" s="5">
        <v>50</v>
      </c>
      <c r="E155" s="5">
        <v>220</v>
      </c>
      <c r="F155" s="5">
        <v>72073.38</v>
      </c>
      <c r="G155" s="5">
        <f>86150-23200</f>
        <v>62950</v>
      </c>
      <c r="H155" s="5">
        <v>2735</v>
      </c>
      <c r="I155" s="5">
        <v>15355.53</v>
      </c>
      <c r="J155" s="5">
        <v>0</v>
      </c>
      <c r="K155" s="5">
        <v>0</v>
      </c>
      <c r="L155" s="5">
        <f t="shared" si="59"/>
        <v>205707.45</v>
      </c>
      <c r="M155" s="5">
        <f>21+23200</f>
        <v>23221</v>
      </c>
      <c r="N155" s="5">
        <v>0</v>
      </c>
      <c r="O155" s="5">
        <v>0</v>
      </c>
      <c r="P155"/>
    </row>
    <row r="156" spans="1:16" x14ac:dyDescent="0.2">
      <c r="A156" s="3" t="s">
        <v>8</v>
      </c>
      <c r="B156" s="10">
        <f t="shared" ref="B156:K156" si="60">SUM(B151:B155)</f>
        <v>430924.12000000005</v>
      </c>
      <c r="C156" s="10">
        <f t="shared" si="60"/>
        <v>150081.03999999998</v>
      </c>
      <c r="D156" s="10">
        <f t="shared" si="60"/>
        <v>380</v>
      </c>
      <c r="E156" s="10">
        <f t="shared" si="60"/>
        <v>827</v>
      </c>
      <c r="F156" s="10">
        <f t="shared" si="60"/>
        <v>78823.38</v>
      </c>
      <c r="G156" s="10">
        <f t="shared" si="60"/>
        <v>117000</v>
      </c>
      <c r="H156" s="10">
        <f t="shared" si="60"/>
        <v>14133</v>
      </c>
      <c r="I156" s="10">
        <f t="shared" si="60"/>
        <v>125154.02</v>
      </c>
      <c r="J156" s="10">
        <f t="shared" si="60"/>
        <v>142.5</v>
      </c>
      <c r="K156" s="10">
        <f t="shared" si="60"/>
        <v>0</v>
      </c>
      <c r="L156" s="10">
        <f>SUM(L151:L155)</f>
        <v>917465.06</v>
      </c>
      <c r="M156" s="10">
        <f t="shared" ref="M156" si="61">SUM(M151:M155)</f>
        <v>23821</v>
      </c>
      <c r="N156" s="10">
        <f t="shared" ref="N156:O156" si="62">SUM(N151:N155)</f>
        <v>0</v>
      </c>
      <c r="O156" s="10">
        <f t="shared" si="62"/>
        <v>0</v>
      </c>
      <c r="P156"/>
    </row>
    <row r="157" spans="1:1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/>
    </row>
    <row r="158" spans="1:16" x14ac:dyDescent="0.2">
      <c r="A158" s="2">
        <v>11</v>
      </c>
      <c r="B158" s="5">
        <v>66419.59</v>
      </c>
      <c r="C158" s="5">
        <v>41503.93</v>
      </c>
      <c r="D158" s="5">
        <v>75</v>
      </c>
      <c r="E158" s="5">
        <v>339</v>
      </c>
      <c r="F158" s="5">
        <v>305000</v>
      </c>
      <c r="G158" s="5">
        <f>131460+2500</f>
        <v>133960</v>
      </c>
      <c r="H158" s="5">
        <v>6812.99</v>
      </c>
      <c r="I158" s="5">
        <v>47774.41</v>
      </c>
      <c r="J158" s="5">
        <v>115</v>
      </c>
      <c r="K158" s="5">
        <v>0</v>
      </c>
      <c r="L158" s="5">
        <f t="shared" ref="L158:L162" si="63">SUM(B158:K158)</f>
        <v>601999.92000000004</v>
      </c>
      <c r="M158" s="5">
        <v>0</v>
      </c>
      <c r="N158" s="5">
        <v>0</v>
      </c>
      <c r="O158" s="5">
        <v>0</v>
      </c>
      <c r="P158"/>
    </row>
    <row r="159" spans="1:16" x14ac:dyDescent="0.2">
      <c r="A159" s="2">
        <v>12</v>
      </c>
      <c r="B159" s="5">
        <v>216562.49</v>
      </c>
      <c r="C159" s="5">
        <v>37024.6</v>
      </c>
      <c r="D159" s="5">
        <v>30</v>
      </c>
      <c r="E159" s="5">
        <v>275</v>
      </c>
      <c r="F159" s="5">
        <v>69150</v>
      </c>
      <c r="G159" s="5">
        <v>7800</v>
      </c>
      <c r="H159" s="5">
        <v>1605.16</v>
      </c>
      <c r="I159" s="5">
        <v>28001.16</v>
      </c>
      <c r="J159" s="5">
        <v>14</v>
      </c>
      <c r="K159" s="5">
        <v>0</v>
      </c>
      <c r="L159" s="5">
        <f t="shared" si="63"/>
        <v>360462.40999999992</v>
      </c>
      <c r="M159" s="5">
        <f>33420</f>
        <v>33420</v>
      </c>
      <c r="N159" s="5">
        <v>0</v>
      </c>
      <c r="O159" s="5">
        <v>0</v>
      </c>
      <c r="P159"/>
    </row>
    <row r="160" spans="1:16" x14ac:dyDescent="0.2">
      <c r="A160" s="2">
        <v>13</v>
      </c>
      <c r="B160" s="5">
        <v>245294.3</v>
      </c>
      <c r="C160" s="5">
        <v>33400.639999999999</v>
      </c>
      <c r="D160" s="5">
        <v>90</v>
      </c>
      <c r="E160" s="5">
        <v>44.5</v>
      </c>
      <c r="F160" s="5">
        <v>0</v>
      </c>
      <c r="G160" s="5">
        <v>16110</v>
      </c>
      <c r="H160" s="5">
        <v>1595.16</v>
      </c>
      <c r="I160" s="5">
        <v>21495.56</v>
      </c>
      <c r="J160" s="5">
        <v>0</v>
      </c>
      <c r="K160" s="5">
        <v>0</v>
      </c>
      <c r="L160" s="5">
        <f t="shared" si="63"/>
        <v>318030.15999999997</v>
      </c>
      <c r="M160" s="5">
        <v>0</v>
      </c>
      <c r="N160" s="5">
        <v>0</v>
      </c>
      <c r="O160" s="5">
        <v>0</v>
      </c>
      <c r="P160"/>
    </row>
    <row r="161" spans="1:16" x14ac:dyDescent="0.2">
      <c r="A161" s="2">
        <v>14</v>
      </c>
      <c r="B161" s="5">
        <v>93609.53</v>
      </c>
      <c r="C161" s="5">
        <v>18682.2</v>
      </c>
      <c r="D161" s="5">
        <v>10</v>
      </c>
      <c r="E161" s="5">
        <v>116.5</v>
      </c>
      <c r="F161" s="5">
        <v>0</v>
      </c>
      <c r="G161" s="5">
        <v>12060</v>
      </c>
      <c r="H161" s="5">
        <v>2965</v>
      </c>
      <c r="I161" s="5">
        <v>22296.639999999999</v>
      </c>
      <c r="J161" s="5">
        <v>16</v>
      </c>
      <c r="K161" s="5">
        <v>0</v>
      </c>
      <c r="L161" s="5">
        <f t="shared" si="63"/>
        <v>149755.87</v>
      </c>
      <c r="M161" s="5">
        <v>0</v>
      </c>
      <c r="N161" s="5">
        <v>0</v>
      </c>
      <c r="O161" s="5">
        <v>0</v>
      </c>
      <c r="P161"/>
    </row>
    <row r="162" spans="1:16" x14ac:dyDescent="0.2">
      <c r="A162" s="2">
        <v>15</v>
      </c>
      <c r="B162" s="5">
        <v>54058</v>
      </c>
      <c r="C162" s="5">
        <v>15338.48</v>
      </c>
      <c r="D162" s="5">
        <v>25</v>
      </c>
      <c r="E162" s="5">
        <v>119.5</v>
      </c>
      <c r="F162" s="5">
        <v>0</v>
      </c>
      <c r="G162" s="5">
        <v>38450</v>
      </c>
      <c r="H162" s="5">
        <v>1575</v>
      </c>
      <c r="I162" s="5">
        <v>15153</v>
      </c>
      <c r="J162" s="5">
        <v>0</v>
      </c>
      <c r="K162" s="5">
        <v>0</v>
      </c>
      <c r="L162" s="5">
        <f t="shared" si="63"/>
        <v>124718.98</v>
      </c>
      <c r="M162" s="5">
        <v>0</v>
      </c>
      <c r="N162" s="5">
        <v>0</v>
      </c>
      <c r="O162" s="5">
        <v>0</v>
      </c>
      <c r="P162"/>
    </row>
    <row r="163" spans="1:16" x14ac:dyDescent="0.2">
      <c r="A163" s="3" t="s">
        <v>8</v>
      </c>
      <c r="B163" s="10">
        <f t="shared" ref="B163:K163" si="64">SUM(B158:B162)</f>
        <v>675943.90999999992</v>
      </c>
      <c r="C163" s="10">
        <f t="shared" si="64"/>
        <v>145949.85</v>
      </c>
      <c r="D163" s="10">
        <f t="shared" si="64"/>
        <v>230</v>
      </c>
      <c r="E163" s="10">
        <f t="shared" si="64"/>
        <v>894.5</v>
      </c>
      <c r="F163" s="10">
        <f t="shared" si="64"/>
        <v>374150</v>
      </c>
      <c r="G163" s="10">
        <f t="shared" si="64"/>
        <v>208380</v>
      </c>
      <c r="H163" s="10">
        <f t="shared" si="64"/>
        <v>14553.31</v>
      </c>
      <c r="I163" s="10">
        <f t="shared" si="64"/>
        <v>134720.77000000002</v>
      </c>
      <c r="J163" s="10">
        <f t="shared" si="64"/>
        <v>145</v>
      </c>
      <c r="K163" s="10">
        <f t="shared" si="64"/>
        <v>0</v>
      </c>
      <c r="L163" s="10">
        <f>SUM(L158:L162)</f>
        <v>1554967.3399999999</v>
      </c>
      <c r="M163" s="10">
        <f t="shared" ref="M163" si="65">SUM(M158:M162)</f>
        <v>33420</v>
      </c>
      <c r="N163" s="10">
        <f>SUM(N158:N162)</f>
        <v>0</v>
      </c>
      <c r="O163" s="10">
        <f>SUM(O158:O162)</f>
        <v>0</v>
      </c>
      <c r="P163"/>
    </row>
    <row r="164" spans="1:1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/>
    </row>
    <row r="165" spans="1:16" x14ac:dyDescent="0.2">
      <c r="A165" s="2">
        <v>18</v>
      </c>
      <c r="B165" s="5">
        <v>105723.7</v>
      </c>
      <c r="C165" s="5">
        <v>31885</v>
      </c>
      <c r="D165" s="5">
        <v>180</v>
      </c>
      <c r="E165" s="5">
        <v>271.5</v>
      </c>
      <c r="F165" s="5">
        <v>0</v>
      </c>
      <c r="G165" s="5">
        <v>15033</v>
      </c>
      <c r="H165" s="5">
        <v>4218</v>
      </c>
      <c r="I165" s="5">
        <v>56604.66</v>
      </c>
      <c r="J165" s="5">
        <v>150</v>
      </c>
      <c r="K165" s="5">
        <v>31990.69</v>
      </c>
      <c r="L165" s="5">
        <f t="shared" ref="L165:L169" si="66">SUM(B165:K165)</f>
        <v>246056.55000000002</v>
      </c>
      <c r="M165" s="5">
        <v>0</v>
      </c>
      <c r="N165" s="5">
        <v>0</v>
      </c>
      <c r="O165" s="5">
        <v>0</v>
      </c>
      <c r="P165"/>
    </row>
    <row r="166" spans="1:16" x14ac:dyDescent="0.2">
      <c r="A166" s="2">
        <v>19</v>
      </c>
      <c r="B166" s="5">
        <v>237102.83</v>
      </c>
      <c r="C166" s="5">
        <v>56653.96</v>
      </c>
      <c r="D166" s="5">
        <v>20</v>
      </c>
      <c r="E166" s="5">
        <v>130</v>
      </c>
      <c r="F166" s="5">
        <v>0</v>
      </c>
      <c r="G166" s="5">
        <v>21880</v>
      </c>
      <c r="H166" s="5">
        <v>1313</v>
      </c>
      <c r="I166" s="5">
        <v>19981.88</v>
      </c>
      <c r="J166" s="5">
        <f>25-240</f>
        <v>-215</v>
      </c>
      <c r="K166" s="5">
        <v>0</v>
      </c>
      <c r="L166" s="5">
        <f t="shared" si="66"/>
        <v>336866.67</v>
      </c>
      <c r="M166" s="5">
        <v>0</v>
      </c>
      <c r="N166" s="5">
        <v>0</v>
      </c>
      <c r="O166" s="5">
        <v>0</v>
      </c>
      <c r="P166"/>
    </row>
    <row r="167" spans="1:16" x14ac:dyDescent="0.2">
      <c r="A167" s="2">
        <v>20</v>
      </c>
      <c r="B167" s="5">
        <v>119506.46</v>
      </c>
      <c r="C167" s="5">
        <v>23432.06</v>
      </c>
      <c r="D167" s="5">
        <v>65</v>
      </c>
      <c r="E167" s="5">
        <v>155</v>
      </c>
      <c r="F167" s="5">
        <v>0</v>
      </c>
      <c r="G167" s="5">
        <v>15900</v>
      </c>
      <c r="H167" s="5">
        <v>1228</v>
      </c>
      <c r="I167" s="5">
        <v>14694.33</v>
      </c>
      <c r="J167" s="5">
        <v>5</v>
      </c>
      <c r="K167" s="5">
        <v>6372.51</v>
      </c>
      <c r="L167" s="5">
        <f t="shared" si="66"/>
        <v>181358.36000000002</v>
      </c>
      <c r="M167" s="5">
        <v>0</v>
      </c>
      <c r="N167" s="5">
        <v>0</v>
      </c>
      <c r="O167" s="5">
        <v>0</v>
      </c>
      <c r="P167"/>
    </row>
    <row r="168" spans="1:16" x14ac:dyDescent="0.2">
      <c r="A168" s="2">
        <v>21</v>
      </c>
      <c r="B168" s="5">
        <v>35588.160000000003</v>
      </c>
      <c r="C168" s="5">
        <v>15251.69</v>
      </c>
      <c r="D168" s="5">
        <f>217403.9+665.45</f>
        <v>218069.35</v>
      </c>
      <c r="E168" s="5">
        <v>72</v>
      </c>
      <c r="F168" s="5">
        <f>131432.29+96.05</f>
        <v>131528.34</v>
      </c>
      <c r="G168" s="5">
        <f>74550-66800</f>
        <v>7750</v>
      </c>
      <c r="H168" s="5">
        <v>2865</v>
      </c>
      <c r="I168" s="5">
        <v>11705.25</v>
      </c>
      <c r="J168" s="5">
        <v>1020</v>
      </c>
      <c r="K168" s="5">
        <v>0</v>
      </c>
      <c r="L168" s="5">
        <f t="shared" si="66"/>
        <v>423849.79000000004</v>
      </c>
      <c r="M168" s="5">
        <v>66800</v>
      </c>
      <c r="N168" s="5">
        <v>0</v>
      </c>
      <c r="O168" s="5">
        <v>0</v>
      </c>
      <c r="P168"/>
    </row>
    <row r="169" spans="1:16" x14ac:dyDescent="0.2">
      <c r="A169" s="2">
        <v>22</v>
      </c>
      <c r="B169" s="5">
        <v>50577.31</v>
      </c>
      <c r="C169" s="5">
        <v>19727.86</v>
      </c>
      <c r="D169" s="5">
        <v>0</v>
      </c>
      <c r="E169" s="5">
        <v>75</v>
      </c>
      <c r="F169" s="5">
        <v>0</v>
      </c>
      <c r="G169" s="5">
        <v>1000</v>
      </c>
      <c r="H169" s="5">
        <v>1004</v>
      </c>
      <c r="I169" s="5">
        <v>11675.5</v>
      </c>
      <c r="J169" s="5">
        <v>0</v>
      </c>
      <c r="K169" s="5">
        <v>0</v>
      </c>
      <c r="L169" s="5">
        <f t="shared" si="66"/>
        <v>84059.67</v>
      </c>
      <c r="M169" s="5">
        <v>0</v>
      </c>
      <c r="N169" s="5">
        <v>0</v>
      </c>
      <c r="O169" s="5">
        <v>0</v>
      </c>
      <c r="P169"/>
    </row>
    <row r="170" spans="1:16" x14ac:dyDescent="0.2">
      <c r="A170" s="3" t="s">
        <v>8</v>
      </c>
      <c r="B170" s="10">
        <f t="shared" ref="B170:K170" si="67">SUM(B165:B169)</f>
        <v>548498.46</v>
      </c>
      <c r="C170" s="10">
        <f t="shared" si="67"/>
        <v>146950.57</v>
      </c>
      <c r="D170" s="10">
        <f t="shared" si="67"/>
        <v>218334.35</v>
      </c>
      <c r="E170" s="10">
        <f t="shared" si="67"/>
        <v>703.5</v>
      </c>
      <c r="F170" s="10">
        <f t="shared" si="67"/>
        <v>131528.34</v>
      </c>
      <c r="G170" s="10">
        <f t="shared" si="67"/>
        <v>61563</v>
      </c>
      <c r="H170" s="10">
        <f t="shared" si="67"/>
        <v>10628</v>
      </c>
      <c r="I170" s="10">
        <f t="shared" si="67"/>
        <v>114661.62000000001</v>
      </c>
      <c r="J170" s="10">
        <f t="shared" si="67"/>
        <v>960</v>
      </c>
      <c r="K170" s="10">
        <f t="shared" si="67"/>
        <v>38363.199999999997</v>
      </c>
      <c r="L170" s="10">
        <f>SUM(L165:L169)</f>
        <v>1272191.04</v>
      </c>
      <c r="M170" s="10">
        <f t="shared" ref="M170" si="68">SUM(M165:M169)</f>
        <v>66800</v>
      </c>
      <c r="N170" s="10">
        <f>SUM(N165:N168)</f>
        <v>0</v>
      </c>
      <c r="O170" s="10">
        <f>SUM(O165:O168)</f>
        <v>0</v>
      </c>
      <c r="P170"/>
    </row>
    <row r="171" spans="1:1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5"/>
      <c r="O171" s="5"/>
      <c r="P171"/>
    </row>
    <row r="172" spans="1:16" x14ac:dyDescent="0.2">
      <c r="A172" s="2">
        <v>25</v>
      </c>
      <c r="B172" s="5">
        <v>60462</v>
      </c>
      <c r="C172" s="5">
        <v>18182.7</v>
      </c>
      <c r="D172" s="5">
        <v>30</v>
      </c>
      <c r="E172" s="5">
        <v>396</v>
      </c>
      <c r="F172" s="5">
        <v>707000</v>
      </c>
      <c r="G172" s="5">
        <v>6435</v>
      </c>
      <c r="H172" s="5">
        <v>24819.8</v>
      </c>
      <c r="I172" s="5">
        <v>39846.089999999997</v>
      </c>
      <c r="J172" s="5">
        <v>120</v>
      </c>
      <c r="K172" s="5">
        <v>0</v>
      </c>
      <c r="L172" s="5">
        <f t="shared" ref="L172:L175" si="69">SUM(B172:K172)</f>
        <v>857291.59</v>
      </c>
      <c r="M172" s="5">
        <v>0</v>
      </c>
      <c r="N172" s="5">
        <v>0</v>
      </c>
      <c r="O172" s="5">
        <v>0</v>
      </c>
      <c r="P172"/>
    </row>
    <row r="173" spans="1:16" x14ac:dyDescent="0.2">
      <c r="A173" s="2">
        <v>26</v>
      </c>
      <c r="B173" s="5">
        <v>145617.54</v>
      </c>
      <c r="C173" s="5">
        <v>51033.87</v>
      </c>
      <c r="D173" s="5">
        <v>30</v>
      </c>
      <c r="E173" s="5">
        <v>95</v>
      </c>
      <c r="F173" s="5">
        <v>5657.73</v>
      </c>
      <c r="G173" s="5">
        <v>4820</v>
      </c>
      <c r="H173" s="5">
        <v>4162</v>
      </c>
      <c r="I173" s="5">
        <f>12629.46+3</f>
        <v>12632.46</v>
      </c>
      <c r="J173" s="5">
        <v>0</v>
      </c>
      <c r="K173" s="5">
        <v>53.64</v>
      </c>
      <c r="L173" s="5">
        <f t="shared" si="69"/>
        <v>224102.24000000002</v>
      </c>
      <c r="M173" s="5">
        <v>0</v>
      </c>
      <c r="N173" s="5">
        <v>0</v>
      </c>
      <c r="O173" s="5">
        <v>0</v>
      </c>
      <c r="P173"/>
    </row>
    <row r="174" spans="1:16" x14ac:dyDescent="0.2">
      <c r="A174" s="2">
        <v>27</v>
      </c>
      <c r="B174" s="5">
        <v>39337</v>
      </c>
      <c r="C174" s="5">
        <v>12245.16</v>
      </c>
      <c r="D174" s="5">
        <v>60</v>
      </c>
      <c r="E174" s="5">
        <v>221.5</v>
      </c>
      <c r="F174" s="5">
        <v>1000</v>
      </c>
      <c r="G174" s="5">
        <f>1980-11600</f>
        <v>-9620</v>
      </c>
      <c r="H174" s="5">
        <v>5635</v>
      </c>
      <c r="I174" s="5">
        <v>36081.69</v>
      </c>
      <c r="J174" s="5">
        <v>10</v>
      </c>
      <c r="K174" s="5">
        <v>0</v>
      </c>
      <c r="L174" s="5">
        <f t="shared" si="69"/>
        <v>84970.35</v>
      </c>
      <c r="M174" s="5">
        <v>11600</v>
      </c>
      <c r="N174" s="5">
        <v>0</v>
      </c>
      <c r="O174" s="5">
        <v>0</v>
      </c>
      <c r="P174"/>
    </row>
    <row r="175" spans="1:16" x14ac:dyDescent="0.2">
      <c r="A175" s="2">
        <v>28</v>
      </c>
      <c r="B175" s="5">
        <v>31073.38</v>
      </c>
      <c r="C175" s="5">
        <v>9795.82</v>
      </c>
      <c r="D175" s="5">
        <v>10</v>
      </c>
      <c r="E175" s="5">
        <v>70</v>
      </c>
      <c r="F175" s="5">
        <v>10000</v>
      </c>
      <c r="G175" s="5">
        <f>26260-30000</f>
        <v>-3740</v>
      </c>
      <c r="H175" s="5">
        <v>3618</v>
      </c>
      <c r="I175" s="5">
        <f>38292.13-200</f>
        <v>38092.129999999997</v>
      </c>
      <c r="J175" s="5">
        <v>35</v>
      </c>
      <c r="K175" s="5">
        <v>2976.73</v>
      </c>
      <c r="L175" s="5">
        <f t="shared" si="69"/>
        <v>91931.059999999983</v>
      </c>
      <c r="M175" s="5">
        <v>30200</v>
      </c>
      <c r="N175" s="5">
        <v>0</v>
      </c>
      <c r="O175" s="5">
        <v>0</v>
      </c>
      <c r="P175"/>
    </row>
    <row r="176" spans="1:16" x14ac:dyDescent="0.2">
      <c r="A176" s="2">
        <v>29</v>
      </c>
      <c r="B176" s="5">
        <v>75183</v>
      </c>
      <c r="C176" s="5">
        <v>20397.88</v>
      </c>
      <c r="D176" s="5">
        <v>120</v>
      </c>
      <c r="E176" s="5">
        <v>454.5</v>
      </c>
      <c r="F176" s="5">
        <v>0</v>
      </c>
      <c r="G176" s="5">
        <v>81800</v>
      </c>
      <c r="H176" s="5">
        <v>2391</v>
      </c>
      <c r="I176" s="5">
        <v>117614.57</v>
      </c>
      <c r="J176" s="5">
        <v>-25</v>
      </c>
      <c r="K176" s="5">
        <v>0</v>
      </c>
      <c r="L176" s="5">
        <f>SUM(B176:K176)</f>
        <v>297935.95</v>
      </c>
      <c r="M176" s="5">
        <v>0</v>
      </c>
      <c r="N176" s="5">
        <v>0</v>
      </c>
      <c r="O176" s="5">
        <v>0</v>
      </c>
      <c r="P176"/>
    </row>
    <row r="177" spans="1:16" x14ac:dyDescent="0.2">
      <c r="A177" s="3" t="s">
        <v>8</v>
      </c>
      <c r="B177" s="10">
        <f>SUM(B172:B176)</f>
        <v>351672.92</v>
      </c>
      <c r="C177" s="10">
        <f t="shared" ref="C177:K177" si="70">SUM(C172:C176)</f>
        <v>111655.43000000002</v>
      </c>
      <c r="D177" s="10">
        <f t="shared" si="70"/>
        <v>250</v>
      </c>
      <c r="E177" s="10">
        <f t="shared" si="70"/>
        <v>1237</v>
      </c>
      <c r="F177" s="10">
        <f t="shared" si="70"/>
        <v>723657.73</v>
      </c>
      <c r="G177" s="10">
        <f t="shared" si="70"/>
        <v>79695</v>
      </c>
      <c r="H177" s="10">
        <f t="shared" si="70"/>
        <v>40625.800000000003</v>
      </c>
      <c r="I177" s="10">
        <f t="shared" si="70"/>
        <v>244266.94</v>
      </c>
      <c r="J177" s="10">
        <f t="shared" si="70"/>
        <v>140</v>
      </c>
      <c r="K177" s="10">
        <f t="shared" si="70"/>
        <v>3030.37</v>
      </c>
      <c r="L177" s="10">
        <f>SUM(L172:L176)</f>
        <v>1556231.1900000002</v>
      </c>
      <c r="M177" s="10">
        <f t="shared" ref="M177" si="71">SUM(M172:M176)</f>
        <v>41800</v>
      </c>
      <c r="N177" s="10">
        <f>SUM(N171:N175)</f>
        <v>0</v>
      </c>
      <c r="O177" s="10">
        <f>SUM(O171:O174)</f>
        <v>0</v>
      </c>
      <c r="P177"/>
    </row>
    <row r="178" spans="1:16" x14ac:dyDescent="0.2">
      <c r="A178" s="3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/>
    </row>
    <row r="179" spans="1:16" x14ac:dyDescent="0.2">
      <c r="A179" s="2">
        <v>30</v>
      </c>
      <c r="B179" s="5">
        <v>0</v>
      </c>
      <c r="C179" s="5">
        <v>0</v>
      </c>
      <c r="D179" s="5">
        <v>55</v>
      </c>
      <c r="E179" s="5">
        <v>691</v>
      </c>
      <c r="F179" s="5">
        <v>0</v>
      </c>
      <c r="G179" s="5">
        <v>38460</v>
      </c>
      <c r="H179" s="5">
        <v>1918</v>
      </c>
      <c r="I179" s="5">
        <f>98040.02+3</f>
        <v>98043.02</v>
      </c>
      <c r="J179" s="5">
        <v>0</v>
      </c>
      <c r="K179" s="5">
        <v>0</v>
      </c>
      <c r="L179" s="5">
        <f t="shared" ref="L179" si="72">SUM(B179:K179)</f>
        <v>139167.02000000002</v>
      </c>
      <c r="M179" s="5">
        <v>0</v>
      </c>
      <c r="N179" s="5">
        <v>0</v>
      </c>
      <c r="O179" s="5">
        <v>0</v>
      </c>
      <c r="P179"/>
    </row>
    <row r="180" spans="1:16" x14ac:dyDescent="0.2">
      <c r="A180" s="3" t="s">
        <v>8</v>
      </c>
      <c r="B180" s="10">
        <f>SUM(B179:B179)</f>
        <v>0</v>
      </c>
      <c r="C180" s="10">
        <f t="shared" ref="C180:N180" si="73">SUM(C179:C179)</f>
        <v>0</v>
      </c>
      <c r="D180" s="10">
        <f t="shared" si="73"/>
        <v>55</v>
      </c>
      <c r="E180" s="10">
        <f t="shared" si="73"/>
        <v>691</v>
      </c>
      <c r="F180" s="10">
        <f t="shared" si="73"/>
        <v>0</v>
      </c>
      <c r="G180" s="10">
        <f t="shared" si="73"/>
        <v>38460</v>
      </c>
      <c r="H180" s="10">
        <f t="shared" si="73"/>
        <v>1918</v>
      </c>
      <c r="I180" s="10">
        <f t="shared" si="73"/>
        <v>98043.02</v>
      </c>
      <c r="J180" s="10">
        <f t="shared" si="73"/>
        <v>0</v>
      </c>
      <c r="K180" s="10">
        <f t="shared" si="73"/>
        <v>0</v>
      </c>
      <c r="L180" s="10">
        <f t="shared" si="73"/>
        <v>139167.02000000002</v>
      </c>
      <c r="M180" s="10">
        <f t="shared" si="73"/>
        <v>0</v>
      </c>
      <c r="N180" s="10">
        <f t="shared" si="73"/>
        <v>0</v>
      </c>
      <c r="O180" s="10">
        <f>SUM(O179:O179)</f>
        <v>0</v>
      </c>
      <c r="P180"/>
    </row>
    <row r="181" spans="1:16" x14ac:dyDescent="0.2">
      <c r="A181" s="3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/>
    </row>
    <row r="182" spans="1:16" x14ac:dyDescent="0.2">
      <c r="A182" s="2" t="s">
        <v>9</v>
      </c>
      <c r="B182" s="29">
        <v>0</v>
      </c>
      <c r="C182" s="29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5">
        <f t="shared" ref="L182:L183" si="74">SUM(B182:K182)</f>
        <v>0</v>
      </c>
      <c r="M182" s="5">
        <f>500000+300000</f>
        <v>800000</v>
      </c>
      <c r="N182" s="29">
        <v>0</v>
      </c>
      <c r="O182" s="29">
        <v>0</v>
      </c>
      <c r="P182"/>
    </row>
    <row r="183" spans="1:16" x14ac:dyDescent="0.2">
      <c r="A183" s="2" t="s">
        <v>10</v>
      </c>
      <c r="B183" s="29">
        <f>-15642-1260-145</f>
        <v>-17047</v>
      </c>
      <c r="C183" s="29">
        <f>-188-238-185</f>
        <v>-611</v>
      </c>
      <c r="D183" s="29">
        <f>-142-89-98-303</f>
        <v>-632</v>
      </c>
      <c r="E183" s="29">
        <v>0</v>
      </c>
      <c r="F183" s="29">
        <v>-3750</v>
      </c>
      <c r="G183" s="29">
        <v>0</v>
      </c>
      <c r="H183" s="29">
        <v>0</v>
      </c>
      <c r="I183" s="29">
        <f>-845-2007-125-1020-2817</f>
        <v>-6814</v>
      </c>
      <c r="J183" s="29">
        <v>0</v>
      </c>
      <c r="K183" s="29">
        <v>0</v>
      </c>
      <c r="L183" s="5">
        <f t="shared" si="74"/>
        <v>-28854</v>
      </c>
      <c r="M183" s="29">
        <v>0</v>
      </c>
      <c r="N183" s="29">
        <v>0</v>
      </c>
      <c r="O183" s="29">
        <v>0</v>
      </c>
      <c r="P183"/>
    </row>
    <row r="184" spans="1:16" x14ac:dyDescent="0.2">
      <c r="A184" s="2"/>
      <c r="B184" s="2"/>
      <c r="C184" s="2"/>
      <c r="D184" s="2"/>
      <c r="E184" s="2"/>
      <c r="F184" s="2"/>
      <c r="G184" s="2"/>
      <c r="H184" s="2"/>
      <c r="I184" s="2"/>
      <c r="K184" s="25"/>
      <c r="P184"/>
    </row>
    <row r="185" spans="1:16" x14ac:dyDescent="0.2">
      <c r="A185" s="3" t="s">
        <v>6</v>
      </c>
      <c r="B185" s="10">
        <f>+B149+B156+B163+B170+B177+B182+B183+B180</f>
        <v>2012021.67</v>
      </c>
      <c r="C185" s="10">
        <f t="shared" ref="C185:N185" si="75">+C149+C156+C163+C170+C177+C182+C183+C180</f>
        <v>554025.89</v>
      </c>
      <c r="D185" s="10">
        <f t="shared" si="75"/>
        <v>218617.35</v>
      </c>
      <c r="E185" s="10">
        <f t="shared" si="75"/>
        <v>4353</v>
      </c>
      <c r="F185" s="10">
        <f t="shared" si="75"/>
        <v>3604409.4499999997</v>
      </c>
      <c r="G185" s="10">
        <f t="shared" si="75"/>
        <v>505098</v>
      </c>
      <c r="H185" s="10">
        <f t="shared" si="75"/>
        <v>81858.11</v>
      </c>
      <c r="I185" s="10">
        <f t="shared" si="75"/>
        <v>710032.37000000011</v>
      </c>
      <c r="J185" s="10">
        <f t="shared" si="75"/>
        <v>1387.5</v>
      </c>
      <c r="K185" s="10">
        <f t="shared" si="75"/>
        <v>41393.57</v>
      </c>
      <c r="L185" s="10">
        <f t="shared" si="75"/>
        <v>7733196.9100000001</v>
      </c>
      <c r="M185" s="10">
        <f>+M149+M156+M163+M170+M177+M182+M183+M180</f>
        <v>965841</v>
      </c>
      <c r="N185" s="10">
        <f t="shared" si="75"/>
        <v>0</v>
      </c>
      <c r="O185" s="10">
        <f>+O149+O156+O163+O170+O177+O182+O183+O180</f>
        <v>0</v>
      </c>
      <c r="P185"/>
    </row>
    <row r="186" spans="1:16" x14ac:dyDescent="0.2">
      <c r="B186" s="1"/>
      <c r="C186" s="1"/>
      <c r="D186" s="1"/>
      <c r="E186" s="1"/>
      <c r="F186" s="1"/>
      <c r="G186" s="1"/>
      <c r="H186" s="1"/>
      <c r="I186" s="2"/>
      <c r="P186"/>
    </row>
    <row r="187" spans="1:16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P187"/>
    </row>
    <row r="188" spans="1:16" x14ac:dyDescent="0.2">
      <c r="A188" s="11" t="s">
        <v>7</v>
      </c>
      <c r="B188" s="9"/>
      <c r="C188" s="9"/>
      <c r="D188" s="2"/>
      <c r="E188" s="2"/>
      <c r="F188" s="11" t="s">
        <v>0</v>
      </c>
      <c r="G188" s="2"/>
      <c r="H188" s="2"/>
      <c r="I188" s="2"/>
      <c r="P188"/>
    </row>
    <row r="189" spans="1:16" x14ac:dyDescent="0.2">
      <c r="A189" s="9"/>
      <c r="B189" s="9"/>
      <c r="C189" s="9"/>
      <c r="D189" s="2"/>
      <c r="E189" s="2"/>
      <c r="F189" s="11" t="s">
        <v>1</v>
      </c>
      <c r="G189" s="2"/>
      <c r="H189" s="2"/>
      <c r="I189" s="2"/>
      <c r="P189"/>
    </row>
    <row r="190" spans="1:16" x14ac:dyDescent="0.2">
      <c r="A190" s="2"/>
      <c r="B190" s="2"/>
      <c r="C190" s="2"/>
      <c r="D190" s="2"/>
      <c r="E190" s="2"/>
      <c r="F190" s="2"/>
      <c r="G190" s="2"/>
      <c r="H190" s="2"/>
      <c r="I190" s="2"/>
      <c r="P190"/>
    </row>
    <row r="191" spans="1:16" x14ac:dyDescent="0.2">
      <c r="A191" s="4"/>
      <c r="B191" s="11" t="s">
        <v>2</v>
      </c>
      <c r="C191" s="11" t="s">
        <v>38</v>
      </c>
      <c r="D191" s="11" t="s">
        <v>44</v>
      </c>
      <c r="E191" s="11" t="s">
        <v>41</v>
      </c>
      <c r="F191" s="11" t="s">
        <v>4</v>
      </c>
      <c r="G191" s="11" t="s">
        <v>36</v>
      </c>
      <c r="H191" s="11" t="s">
        <v>3</v>
      </c>
      <c r="I191" s="11" t="s">
        <v>40</v>
      </c>
      <c r="J191" s="11" t="s">
        <v>45</v>
      </c>
      <c r="K191" s="11" t="s">
        <v>5</v>
      </c>
      <c r="L191" s="11" t="s">
        <v>6</v>
      </c>
      <c r="M191" s="11" t="s">
        <v>46</v>
      </c>
      <c r="N191" s="11" t="s">
        <v>48</v>
      </c>
      <c r="O191" s="11" t="s">
        <v>49</v>
      </c>
      <c r="P191"/>
    </row>
    <row r="192" spans="1:16" x14ac:dyDescent="0.2">
      <c r="A192" s="2"/>
      <c r="B192" s="2"/>
      <c r="C192" s="2"/>
      <c r="D192" s="2"/>
      <c r="F192" s="2"/>
      <c r="G192" s="2"/>
      <c r="H192" s="2"/>
      <c r="J192" s="2"/>
      <c r="K192" s="2"/>
      <c r="L192" s="2"/>
      <c r="M192" s="2"/>
      <c r="N192" s="2"/>
      <c r="O192" s="2"/>
      <c r="P192"/>
    </row>
    <row r="193" spans="1:16" x14ac:dyDescent="0.2">
      <c r="A193" s="2">
        <v>2</v>
      </c>
      <c r="B193" s="5">
        <v>15000</v>
      </c>
      <c r="C193" s="5">
        <v>16709.98</v>
      </c>
      <c r="D193" s="5">
        <v>25</v>
      </c>
      <c r="E193" s="5">
        <v>134</v>
      </c>
      <c r="F193" s="5">
        <v>0</v>
      </c>
      <c r="G193" s="5">
        <v>1700</v>
      </c>
      <c r="H193" s="5">
        <v>0</v>
      </c>
      <c r="I193" s="5">
        <f>21460.33</f>
        <v>21460.33</v>
      </c>
      <c r="J193" s="5">
        <v>0</v>
      </c>
      <c r="K193" s="5">
        <v>0</v>
      </c>
      <c r="L193" s="5">
        <f>SUM(B193:K193)</f>
        <v>55029.31</v>
      </c>
      <c r="M193" s="5">
        <v>0</v>
      </c>
      <c r="N193" s="5">
        <v>0</v>
      </c>
      <c r="O193" s="5">
        <v>0</v>
      </c>
      <c r="P193"/>
    </row>
    <row r="194" spans="1:16" x14ac:dyDescent="0.2">
      <c r="A194" s="2">
        <v>3</v>
      </c>
      <c r="B194" s="5">
        <v>111527.91</v>
      </c>
      <c r="C194" s="5">
        <v>35799.1</v>
      </c>
      <c r="D194" s="5">
        <v>0</v>
      </c>
      <c r="E194" s="5">
        <v>450</v>
      </c>
      <c r="F194" s="5">
        <v>36053.07</v>
      </c>
      <c r="G194" s="5">
        <v>26300</v>
      </c>
      <c r="H194" s="5">
        <v>2318</v>
      </c>
      <c r="I194" s="5">
        <f>34378.81+3</f>
        <v>34381.81</v>
      </c>
      <c r="J194" s="5">
        <v>60</v>
      </c>
      <c r="K194" s="5">
        <v>0</v>
      </c>
      <c r="L194" s="5">
        <f t="shared" ref="L194:L197" si="76">SUM(B194:K194)</f>
        <v>246889.89</v>
      </c>
      <c r="M194" s="5">
        <v>100200</v>
      </c>
      <c r="N194" s="5">
        <v>66400</v>
      </c>
      <c r="O194" s="5">
        <v>0</v>
      </c>
      <c r="P194"/>
    </row>
    <row r="195" spans="1:16" x14ac:dyDescent="0.2">
      <c r="A195" s="2">
        <v>4</v>
      </c>
      <c r="B195" s="5">
        <v>84630.51</v>
      </c>
      <c r="C195" s="5">
        <v>19584.259999999998</v>
      </c>
      <c r="D195" s="5">
        <v>100</v>
      </c>
      <c r="E195" s="5">
        <v>202</v>
      </c>
      <c r="F195" s="5">
        <v>0</v>
      </c>
      <c r="G195" s="5">
        <v>37125</v>
      </c>
      <c r="H195" s="5">
        <v>7845</v>
      </c>
      <c r="I195" s="5">
        <f>33852.38+3</f>
        <v>33855.379999999997</v>
      </c>
      <c r="J195" s="5">
        <v>100</v>
      </c>
      <c r="K195" s="5">
        <v>0</v>
      </c>
      <c r="L195" s="5">
        <f t="shared" si="76"/>
        <v>183442.15</v>
      </c>
      <c r="M195" s="5">
        <v>0</v>
      </c>
      <c r="N195" s="5">
        <v>0</v>
      </c>
      <c r="O195" s="5">
        <v>0</v>
      </c>
      <c r="P195"/>
    </row>
    <row r="196" spans="1:16" x14ac:dyDescent="0.2">
      <c r="A196" s="7">
        <v>5</v>
      </c>
      <c r="B196" s="5">
        <v>97324.54</v>
      </c>
      <c r="C196" s="5">
        <v>24272.76</v>
      </c>
      <c r="D196" s="5">
        <v>60</v>
      </c>
      <c r="E196" s="5">
        <v>559.5</v>
      </c>
      <c r="F196" s="5">
        <v>134.44999999999999</v>
      </c>
      <c r="G196" s="5">
        <f>35000-14380</f>
        <v>20620</v>
      </c>
      <c r="H196" s="5">
        <v>11791</v>
      </c>
      <c r="I196" s="5">
        <f>51634.11+3</f>
        <v>51637.11</v>
      </c>
      <c r="J196" s="5">
        <v>25</v>
      </c>
      <c r="K196" s="5">
        <v>0</v>
      </c>
      <c r="L196" s="5">
        <f t="shared" si="76"/>
        <v>206424.36</v>
      </c>
      <c r="M196" s="5">
        <v>14380</v>
      </c>
      <c r="N196" s="5">
        <v>0</v>
      </c>
      <c r="O196" s="5">
        <v>0</v>
      </c>
      <c r="P196"/>
    </row>
    <row r="197" spans="1:16" x14ac:dyDescent="0.2">
      <c r="A197" s="7">
        <v>6</v>
      </c>
      <c r="B197" s="5">
        <v>95209.62</v>
      </c>
      <c r="C197" s="5">
        <v>14795.32</v>
      </c>
      <c r="D197" s="5">
        <v>65</v>
      </c>
      <c r="E197" s="5">
        <v>613</v>
      </c>
      <c r="F197" s="5">
        <f>2000000+15000</f>
        <v>2015000</v>
      </c>
      <c r="G197" s="5">
        <f>61805+46800</f>
        <v>108605</v>
      </c>
      <c r="H197" s="5">
        <v>1737</v>
      </c>
      <c r="I197" s="5">
        <v>43990.59</v>
      </c>
      <c r="J197" s="5">
        <v>77.5</v>
      </c>
      <c r="K197" s="5">
        <v>0</v>
      </c>
      <c r="L197" s="5">
        <f t="shared" si="76"/>
        <v>2280093.0299999998</v>
      </c>
      <c r="M197" s="5">
        <v>25000</v>
      </c>
      <c r="N197" s="5">
        <v>0</v>
      </c>
      <c r="O197" s="5">
        <v>0</v>
      </c>
      <c r="P197"/>
    </row>
    <row r="198" spans="1:16" x14ac:dyDescent="0.2">
      <c r="A198" s="3" t="s">
        <v>8</v>
      </c>
      <c r="B198" s="10">
        <f t="shared" ref="B198:K198" si="77">SUM(B193:B197)</f>
        <v>403692.57999999996</v>
      </c>
      <c r="C198" s="10">
        <f t="shared" si="77"/>
        <v>111161.41999999998</v>
      </c>
      <c r="D198" s="10">
        <f t="shared" si="77"/>
        <v>250</v>
      </c>
      <c r="E198" s="10">
        <f t="shared" si="77"/>
        <v>1958.5</v>
      </c>
      <c r="F198" s="10">
        <f t="shared" si="77"/>
        <v>2051187.52</v>
      </c>
      <c r="G198" s="10">
        <f t="shared" si="77"/>
        <v>194350</v>
      </c>
      <c r="H198" s="10">
        <f t="shared" si="77"/>
        <v>23691</v>
      </c>
      <c r="I198" s="10">
        <f t="shared" si="77"/>
        <v>185325.22</v>
      </c>
      <c r="J198" s="10">
        <f t="shared" si="77"/>
        <v>262.5</v>
      </c>
      <c r="K198" s="10">
        <f t="shared" si="77"/>
        <v>0</v>
      </c>
      <c r="L198" s="10">
        <f>SUM(L193:L197)</f>
        <v>2971878.7399999998</v>
      </c>
      <c r="M198" s="10">
        <f>SUM(M193:M197)</f>
        <v>139580</v>
      </c>
      <c r="N198" s="10">
        <f>SUM(N194:N197)</f>
        <v>66400</v>
      </c>
      <c r="O198" s="10">
        <f>SUM(O194:O197)</f>
        <v>0</v>
      </c>
      <c r="P198"/>
    </row>
    <row r="199" spans="1:1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/>
    </row>
    <row r="200" spans="1:16" x14ac:dyDescent="0.2">
      <c r="A200" s="7">
        <v>9</v>
      </c>
      <c r="B200" s="5">
        <v>97331.77</v>
      </c>
      <c r="C200" s="5">
        <v>23032.6</v>
      </c>
      <c r="D200" s="5">
        <v>110</v>
      </c>
      <c r="E200" s="5">
        <v>1240</v>
      </c>
      <c r="F200" s="5">
        <v>0</v>
      </c>
      <c r="G200" s="5">
        <f>34463-10000</f>
        <v>24463</v>
      </c>
      <c r="H200" s="5">
        <v>8126</v>
      </c>
      <c r="I200" s="5">
        <v>64061.61</v>
      </c>
      <c r="J200" s="5">
        <v>25</v>
      </c>
      <c r="K200" s="5">
        <v>0</v>
      </c>
      <c r="L200" s="5">
        <f t="shared" ref="L200:L204" si="78">SUM(B200:K200)</f>
        <v>218389.97999999998</v>
      </c>
      <c r="M200" s="5">
        <v>10000</v>
      </c>
      <c r="N200" s="5">
        <v>0</v>
      </c>
      <c r="O200" s="5">
        <v>0</v>
      </c>
      <c r="P200"/>
    </row>
    <row r="201" spans="1:16" x14ac:dyDescent="0.2">
      <c r="A201" s="7">
        <v>10</v>
      </c>
      <c r="B201" s="5">
        <v>195304.59</v>
      </c>
      <c r="C201" s="5">
        <v>25522.080000000002</v>
      </c>
      <c r="D201" s="5">
        <v>2586.0500000000002</v>
      </c>
      <c r="E201" s="5">
        <v>237</v>
      </c>
      <c r="F201" s="5">
        <v>330.37</v>
      </c>
      <c r="G201" s="5">
        <f>41500-7700</f>
        <v>33800</v>
      </c>
      <c r="H201" s="5">
        <v>1918</v>
      </c>
      <c r="I201" s="5">
        <v>65055.74</v>
      </c>
      <c r="J201" s="5">
        <v>35</v>
      </c>
      <c r="K201" s="5">
        <v>0</v>
      </c>
      <c r="L201" s="5">
        <f t="shared" si="78"/>
        <v>324788.82999999996</v>
      </c>
      <c r="M201" s="5">
        <v>7700</v>
      </c>
      <c r="N201" s="5">
        <v>0</v>
      </c>
      <c r="O201" s="5">
        <v>0</v>
      </c>
      <c r="P201"/>
    </row>
    <row r="202" spans="1:16" x14ac:dyDescent="0.2">
      <c r="A202" s="7">
        <v>11</v>
      </c>
      <c r="B202" s="5">
        <f>91790.91-16600</f>
        <v>75190.91</v>
      </c>
      <c r="C202" s="5">
        <v>37032.5</v>
      </c>
      <c r="D202" s="5">
        <v>58</v>
      </c>
      <c r="E202" s="5">
        <v>155</v>
      </c>
      <c r="F202" s="5">
        <v>58600</v>
      </c>
      <c r="G202" s="5">
        <v>78175</v>
      </c>
      <c r="H202" s="5">
        <v>1537</v>
      </c>
      <c r="I202" s="5">
        <f>40761+3</f>
        <v>40764</v>
      </c>
      <c r="J202" s="5">
        <v>85</v>
      </c>
      <c r="K202" s="5">
        <v>0</v>
      </c>
      <c r="L202" s="5">
        <f t="shared" si="78"/>
        <v>291597.41000000003</v>
      </c>
      <c r="M202" s="5">
        <f>1000+16600</f>
        <v>17600</v>
      </c>
      <c r="N202" s="5">
        <v>0</v>
      </c>
      <c r="O202" s="5">
        <v>0</v>
      </c>
      <c r="P202"/>
    </row>
    <row r="203" spans="1:16" x14ac:dyDescent="0.2">
      <c r="A203" s="7">
        <v>12</v>
      </c>
      <c r="B203" s="5">
        <v>120302.62</v>
      </c>
      <c r="C203" s="5">
        <f>20909-210</f>
        <v>20699</v>
      </c>
      <c r="D203" s="5">
        <v>0</v>
      </c>
      <c r="E203" s="5">
        <v>178</v>
      </c>
      <c r="F203" s="5">
        <f>1075000-23064.54-66600</f>
        <v>985335.46</v>
      </c>
      <c r="G203" s="5">
        <v>250</v>
      </c>
      <c r="H203" s="5">
        <v>1305</v>
      </c>
      <c r="I203" s="5">
        <v>62059.76</v>
      </c>
      <c r="J203" s="5">
        <v>10</v>
      </c>
      <c r="K203" s="5">
        <v>39141.15</v>
      </c>
      <c r="L203" s="5">
        <f t="shared" si="78"/>
        <v>1229280.99</v>
      </c>
      <c r="M203" s="5">
        <v>89664.54</v>
      </c>
      <c r="N203" s="5">
        <v>0</v>
      </c>
      <c r="O203" s="5">
        <v>0</v>
      </c>
      <c r="P203"/>
    </row>
    <row r="204" spans="1:16" x14ac:dyDescent="0.2">
      <c r="A204" s="8">
        <v>13</v>
      </c>
      <c r="B204" s="5">
        <v>90938.16</v>
      </c>
      <c r="C204" s="5">
        <v>17510</v>
      </c>
      <c r="D204" s="5">
        <v>80</v>
      </c>
      <c r="E204" s="5">
        <v>44</v>
      </c>
      <c r="F204" s="5">
        <v>0</v>
      </c>
      <c r="G204" s="5">
        <v>32425</v>
      </c>
      <c r="H204" s="5">
        <v>2905</v>
      </c>
      <c r="I204" s="5">
        <v>32372.31</v>
      </c>
      <c r="J204" s="5">
        <v>0</v>
      </c>
      <c r="K204" s="5">
        <v>0</v>
      </c>
      <c r="L204" s="5">
        <f t="shared" si="78"/>
        <v>176274.47</v>
      </c>
      <c r="M204" s="5">
        <v>0</v>
      </c>
      <c r="N204" s="5">
        <v>0</v>
      </c>
      <c r="O204" s="5">
        <v>0</v>
      </c>
      <c r="P204"/>
    </row>
    <row r="205" spans="1:16" x14ac:dyDescent="0.2">
      <c r="A205" s="3" t="s">
        <v>8</v>
      </c>
      <c r="B205" s="10">
        <f t="shared" ref="B205:K205" si="79">SUM(B200:B204)</f>
        <v>579068.05000000005</v>
      </c>
      <c r="C205" s="10">
        <f t="shared" si="79"/>
        <v>123796.18</v>
      </c>
      <c r="D205" s="10">
        <f t="shared" si="79"/>
        <v>2834.05</v>
      </c>
      <c r="E205" s="10">
        <f t="shared" si="79"/>
        <v>1854</v>
      </c>
      <c r="F205" s="10">
        <f t="shared" si="79"/>
        <v>1044265.83</v>
      </c>
      <c r="G205" s="10">
        <f t="shared" si="79"/>
        <v>169113</v>
      </c>
      <c r="H205" s="10">
        <f t="shared" si="79"/>
        <v>15791</v>
      </c>
      <c r="I205" s="10">
        <f t="shared" si="79"/>
        <v>264313.42000000004</v>
      </c>
      <c r="J205" s="10">
        <f t="shared" si="79"/>
        <v>155</v>
      </c>
      <c r="K205" s="10">
        <f t="shared" si="79"/>
        <v>39141.15</v>
      </c>
      <c r="L205" s="10">
        <f>SUM(L200:L204)</f>
        <v>2240331.6800000002</v>
      </c>
      <c r="M205" s="10">
        <f t="shared" ref="M205" si="80">SUM(M200:M204)</f>
        <v>124964.54</v>
      </c>
      <c r="N205" s="10">
        <f t="shared" ref="N205:O205" si="81">SUM(N200:N204)</f>
        <v>0</v>
      </c>
      <c r="O205" s="10">
        <f t="shared" si="81"/>
        <v>0</v>
      </c>
      <c r="P205"/>
    </row>
    <row r="206" spans="1:1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/>
    </row>
    <row r="207" spans="1:16" x14ac:dyDescent="0.2">
      <c r="A207" s="2">
        <v>16</v>
      </c>
      <c r="B207" s="5">
        <v>73702.38</v>
      </c>
      <c r="C207" s="5">
        <v>11873.32</v>
      </c>
      <c r="D207" s="5">
        <v>190</v>
      </c>
      <c r="E207" s="5">
        <v>399</v>
      </c>
      <c r="F207" s="5">
        <v>0</v>
      </c>
      <c r="G207" s="5">
        <v>9830</v>
      </c>
      <c r="H207" s="5">
        <v>3078</v>
      </c>
      <c r="I207" s="5">
        <v>55608</v>
      </c>
      <c r="J207" s="5">
        <v>46</v>
      </c>
      <c r="K207" s="5">
        <v>0</v>
      </c>
      <c r="L207" s="5">
        <f t="shared" ref="L207:L210" si="82">SUM(B207:K207)</f>
        <v>154726.70000000001</v>
      </c>
      <c r="M207" s="5">
        <v>0</v>
      </c>
      <c r="N207" s="5">
        <v>0</v>
      </c>
      <c r="O207" s="5">
        <v>0</v>
      </c>
      <c r="P207"/>
    </row>
    <row r="208" spans="1:16" x14ac:dyDescent="0.2">
      <c r="A208" s="2">
        <v>17</v>
      </c>
      <c r="B208" s="5">
        <v>180842.72</v>
      </c>
      <c r="C208" s="5">
        <v>50938.76</v>
      </c>
      <c r="D208" s="5">
        <v>30</v>
      </c>
      <c r="E208" s="5">
        <v>20</v>
      </c>
      <c r="F208" s="5">
        <v>97200</v>
      </c>
      <c r="G208" s="5">
        <v>116432.1</v>
      </c>
      <c r="H208" s="5">
        <v>32868</v>
      </c>
      <c r="I208" s="5">
        <v>16872.59</v>
      </c>
      <c r="J208" s="5">
        <v>1446</v>
      </c>
      <c r="K208" s="5">
        <v>0</v>
      </c>
      <c r="L208" s="5">
        <f t="shared" si="82"/>
        <v>496650.17</v>
      </c>
      <c r="M208" s="5">
        <f>45000+143867.9</f>
        <v>188867.9</v>
      </c>
      <c r="N208" s="5">
        <v>20400</v>
      </c>
      <c r="O208" s="5">
        <v>0</v>
      </c>
      <c r="P208"/>
    </row>
    <row r="209" spans="1:16" x14ac:dyDescent="0.2">
      <c r="A209" s="2">
        <v>18</v>
      </c>
      <c r="B209" s="5">
        <v>156943.93</v>
      </c>
      <c r="C209" s="5">
        <v>27888.16</v>
      </c>
      <c r="D209" s="5">
        <v>5</v>
      </c>
      <c r="E209" s="5">
        <v>210</v>
      </c>
      <c r="F209" s="5">
        <v>15000</v>
      </c>
      <c r="G209" s="5">
        <v>67900</v>
      </c>
      <c r="H209" s="5">
        <v>3201</v>
      </c>
      <c r="I209" s="5">
        <v>18893</v>
      </c>
      <c r="J209" s="5">
        <v>0</v>
      </c>
      <c r="K209" s="5">
        <v>0</v>
      </c>
      <c r="L209" s="5">
        <f t="shared" si="82"/>
        <v>290041.08999999997</v>
      </c>
      <c r="M209" s="5">
        <v>5000</v>
      </c>
      <c r="N209" s="5">
        <v>0</v>
      </c>
      <c r="O209" s="5">
        <v>0</v>
      </c>
      <c r="P209"/>
    </row>
    <row r="210" spans="1:16" x14ac:dyDescent="0.2">
      <c r="A210" s="2">
        <v>19</v>
      </c>
      <c r="B210" s="5">
        <v>70238.45</v>
      </c>
      <c r="C210" s="5">
        <v>16250.16</v>
      </c>
      <c r="D210" s="5">
        <v>20</v>
      </c>
      <c r="E210" s="5">
        <v>0</v>
      </c>
      <c r="F210" s="5">
        <v>0</v>
      </c>
      <c r="G210" s="5">
        <v>115330</v>
      </c>
      <c r="H210" s="5">
        <v>2880</v>
      </c>
      <c r="I210" s="5">
        <v>22271.05</v>
      </c>
      <c r="J210" s="5">
        <v>25</v>
      </c>
      <c r="K210" s="5">
        <v>0</v>
      </c>
      <c r="L210" s="5">
        <f t="shared" si="82"/>
        <v>227014.65999999997</v>
      </c>
      <c r="M210" s="5">
        <v>0</v>
      </c>
      <c r="N210" s="5">
        <v>0</v>
      </c>
      <c r="O210" s="5">
        <v>0</v>
      </c>
      <c r="P210"/>
    </row>
    <row r="211" spans="1:16" x14ac:dyDescent="0.2">
      <c r="A211" s="2">
        <v>20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f>SUM(B211:K211)</f>
        <v>0</v>
      </c>
      <c r="M211" s="5">
        <v>0</v>
      </c>
      <c r="N211" s="5">
        <v>0</v>
      </c>
      <c r="O211" s="5">
        <v>0</v>
      </c>
      <c r="P211"/>
    </row>
    <row r="212" spans="1:16" x14ac:dyDescent="0.2">
      <c r="A212" s="3" t="s">
        <v>8</v>
      </c>
      <c r="B212" s="10">
        <f t="shared" ref="B212:K212" si="83">SUM(B207:B211)</f>
        <v>481727.48000000004</v>
      </c>
      <c r="C212" s="10">
        <f t="shared" si="83"/>
        <v>106950.40000000001</v>
      </c>
      <c r="D212" s="10">
        <f t="shared" si="83"/>
        <v>245</v>
      </c>
      <c r="E212" s="10">
        <f t="shared" si="83"/>
        <v>629</v>
      </c>
      <c r="F212" s="10">
        <f t="shared" si="83"/>
        <v>112200</v>
      </c>
      <c r="G212" s="10">
        <f t="shared" si="83"/>
        <v>309492.09999999998</v>
      </c>
      <c r="H212" s="10">
        <f t="shared" si="83"/>
        <v>42027</v>
      </c>
      <c r="I212" s="10">
        <f t="shared" si="83"/>
        <v>113644.64</v>
      </c>
      <c r="J212" s="10">
        <f t="shared" si="83"/>
        <v>1517</v>
      </c>
      <c r="K212" s="10">
        <f t="shared" si="83"/>
        <v>0</v>
      </c>
      <c r="L212" s="10">
        <f>SUM(L207:L211)</f>
        <v>1168432.6199999999</v>
      </c>
      <c r="M212" s="10">
        <f t="shared" ref="M212" si="84">SUM(M207:M211)</f>
        <v>193867.9</v>
      </c>
      <c r="N212" s="10">
        <f>SUM(N207:N211)</f>
        <v>20400</v>
      </c>
      <c r="O212" s="10">
        <f>SUM(O207:O211)</f>
        <v>0</v>
      </c>
      <c r="P212"/>
    </row>
    <row r="213" spans="1:1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/>
    </row>
    <row r="214" spans="1:16" x14ac:dyDescent="0.2">
      <c r="A214" s="2">
        <v>23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f>SUM(B214:K214)</f>
        <v>0</v>
      </c>
      <c r="M214" s="5">
        <v>0</v>
      </c>
      <c r="N214" s="5">
        <v>0</v>
      </c>
      <c r="O214" s="5">
        <v>0</v>
      </c>
      <c r="P214"/>
    </row>
    <row r="215" spans="1:16" x14ac:dyDescent="0.2">
      <c r="A215" s="2">
        <v>24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f t="shared" ref="L215:L218" si="85">SUM(B215:K215)</f>
        <v>0</v>
      </c>
      <c r="M215" s="5">
        <v>0</v>
      </c>
      <c r="N215" s="5">
        <v>0</v>
      </c>
      <c r="O215" s="5">
        <v>0</v>
      </c>
      <c r="P215"/>
    </row>
    <row r="216" spans="1:16" x14ac:dyDescent="0.2">
      <c r="A216" s="2">
        <v>25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f t="shared" si="85"/>
        <v>0</v>
      </c>
      <c r="M216" s="5">
        <v>0</v>
      </c>
      <c r="N216" s="5">
        <v>0</v>
      </c>
      <c r="O216" s="5">
        <v>0</v>
      </c>
      <c r="P216"/>
    </row>
    <row r="217" spans="1:16" x14ac:dyDescent="0.2">
      <c r="A217" s="2">
        <v>26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f t="shared" si="85"/>
        <v>0</v>
      </c>
      <c r="M217" s="5">
        <v>0</v>
      </c>
      <c r="N217" s="5">
        <v>0</v>
      </c>
      <c r="O217" s="5">
        <v>0</v>
      </c>
      <c r="P217"/>
    </row>
    <row r="218" spans="1:16" x14ac:dyDescent="0.2">
      <c r="A218" s="2">
        <v>27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f t="shared" si="85"/>
        <v>0</v>
      </c>
      <c r="M218" s="5">
        <v>0</v>
      </c>
      <c r="N218" s="5">
        <v>0</v>
      </c>
      <c r="O218" s="5">
        <v>0</v>
      </c>
      <c r="P218"/>
    </row>
    <row r="219" spans="1:16" x14ac:dyDescent="0.2">
      <c r="A219" s="3" t="s">
        <v>8</v>
      </c>
      <c r="B219" s="10">
        <f t="shared" ref="B219:K219" si="86">SUM(B214:B218)</f>
        <v>0</v>
      </c>
      <c r="C219" s="10">
        <f t="shared" si="86"/>
        <v>0</v>
      </c>
      <c r="D219" s="10">
        <f t="shared" si="86"/>
        <v>0</v>
      </c>
      <c r="E219" s="10">
        <f t="shared" si="86"/>
        <v>0</v>
      </c>
      <c r="F219" s="10">
        <f t="shared" si="86"/>
        <v>0</v>
      </c>
      <c r="G219" s="10">
        <f t="shared" si="86"/>
        <v>0</v>
      </c>
      <c r="H219" s="10">
        <f t="shared" si="86"/>
        <v>0</v>
      </c>
      <c r="I219" s="10">
        <f t="shared" si="86"/>
        <v>0</v>
      </c>
      <c r="J219" s="10">
        <f t="shared" si="86"/>
        <v>0</v>
      </c>
      <c r="K219" s="10">
        <f t="shared" si="86"/>
        <v>0</v>
      </c>
      <c r="L219" s="10">
        <f>SUM(L214:L218)</f>
        <v>0</v>
      </c>
      <c r="M219" s="10">
        <f t="shared" ref="M219" si="87">SUM(M214:M218)</f>
        <v>0</v>
      </c>
      <c r="N219" s="10">
        <f>SUM(N214:N217)</f>
        <v>0</v>
      </c>
      <c r="O219" s="10">
        <f>SUM(O214:O217)</f>
        <v>0</v>
      </c>
      <c r="P219"/>
    </row>
    <row r="220" spans="1:1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5"/>
      <c r="O220" s="5"/>
      <c r="P220"/>
    </row>
    <row r="221" spans="1:16" x14ac:dyDescent="0.2">
      <c r="A221" s="2">
        <v>30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f t="shared" ref="L221:L225" si="88">SUM(B221:K221)</f>
        <v>0</v>
      </c>
      <c r="M221" s="5">
        <v>0</v>
      </c>
      <c r="N221" s="5">
        <v>0</v>
      </c>
      <c r="O221" s="5">
        <v>0</v>
      </c>
      <c r="P221"/>
    </row>
    <row r="222" spans="1:16" x14ac:dyDescent="0.2">
      <c r="A222" s="2">
        <v>31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f t="shared" si="88"/>
        <v>0</v>
      </c>
      <c r="M222" s="5">
        <v>0</v>
      </c>
      <c r="N222" s="5">
        <v>0</v>
      </c>
      <c r="O222" s="5">
        <v>0</v>
      </c>
      <c r="P222"/>
    </row>
    <row r="223" spans="1:16" x14ac:dyDescent="0.2">
      <c r="A223" s="2"/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f t="shared" si="88"/>
        <v>0</v>
      </c>
      <c r="M223" s="5">
        <v>0</v>
      </c>
      <c r="N223" s="5">
        <v>0</v>
      </c>
      <c r="O223" s="5">
        <v>0</v>
      </c>
      <c r="P223"/>
    </row>
    <row r="224" spans="1:16" x14ac:dyDescent="0.2">
      <c r="A224" s="2"/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f t="shared" si="88"/>
        <v>0</v>
      </c>
      <c r="M224" s="5">
        <v>0</v>
      </c>
      <c r="N224" s="5">
        <v>0</v>
      </c>
      <c r="O224" s="5">
        <v>0</v>
      </c>
      <c r="P224"/>
    </row>
    <row r="225" spans="1:16" x14ac:dyDescent="0.2">
      <c r="A225" s="2"/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f t="shared" si="88"/>
        <v>0</v>
      </c>
      <c r="M225" s="5">
        <v>0</v>
      </c>
      <c r="N225" s="5">
        <v>0</v>
      </c>
      <c r="O225" s="5">
        <v>0</v>
      </c>
      <c r="P225"/>
    </row>
    <row r="226" spans="1:16" x14ac:dyDescent="0.2">
      <c r="A226" s="3" t="s">
        <v>8</v>
      </c>
      <c r="B226" s="10">
        <f>SUM(B221:B225)</f>
        <v>0</v>
      </c>
      <c r="C226" s="10">
        <f t="shared" ref="C226:K226" si="89">SUM(C221:C225)</f>
        <v>0</v>
      </c>
      <c r="D226" s="10">
        <f t="shared" si="89"/>
        <v>0</v>
      </c>
      <c r="E226" s="10">
        <f t="shared" si="89"/>
        <v>0</v>
      </c>
      <c r="F226" s="10">
        <f t="shared" si="89"/>
        <v>0</v>
      </c>
      <c r="G226" s="10">
        <f t="shared" si="89"/>
        <v>0</v>
      </c>
      <c r="H226" s="10">
        <f t="shared" si="89"/>
        <v>0</v>
      </c>
      <c r="I226" s="10">
        <f t="shared" si="89"/>
        <v>0</v>
      </c>
      <c r="J226" s="10">
        <f t="shared" si="89"/>
        <v>0</v>
      </c>
      <c r="K226" s="10">
        <f t="shared" si="89"/>
        <v>0</v>
      </c>
      <c r="L226" s="10">
        <f>SUM(L221:L225)</f>
        <v>0</v>
      </c>
      <c r="M226" s="10">
        <f t="shared" ref="M226" si="90">SUM(M221:M225)</f>
        <v>0</v>
      </c>
      <c r="N226" s="10">
        <f>SUM(N220:N224)</f>
        <v>0</v>
      </c>
      <c r="O226" s="10">
        <f>SUM(O220:O223)</f>
        <v>0</v>
      </c>
      <c r="P226"/>
    </row>
    <row r="227" spans="1:1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6"/>
      <c r="P227"/>
    </row>
    <row r="228" spans="1:16" x14ac:dyDescent="0.2">
      <c r="A228" s="2" t="s">
        <v>9</v>
      </c>
      <c r="B228" s="29">
        <v>-519</v>
      </c>
      <c r="C228" s="29">
        <v>-70</v>
      </c>
      <c r="D228" s="29">
        <v>-120</v>
      </c>
      <c r="E228" s="29">
        <v>0</v>
      </c>
      <c r="F228" s="29">
        <v>0</v>
      </c>
      <c r="G228" s="29">
        <v>0</v>
      </c>
      <c r="H228" s="29">
        <v>0</v>
      </c>
      <c r="I228" s="29">
        <v>-3918</v>
      </c>
      <c r="J228" s="29">
        <v>0</v>
      </c>
      <c r="K228" s="29">
        <v>0</v>
      </c>
      <c r="L228" s="5">
        <f t="shared" ref="L228:L229" si="91">SUM(B228:K228)</f>
        <v>-4627</v>
      </c>
      <c r="M228" s="5">
        <v>500000</v>
      </c>
      <c r="N228" s="29">
        <v>0</v>
      </c>
      <c r="O228" s="29">
        <v>0</v>
      </c>
      <c r="P228"/>
    </row>
    <row r="229" spans="1:16" x14ac:dyDescent="0.2">
      <c r="A229" s="2" t="s">
        <v>10</v>
      </c>
      <c r="B229" s="29">
        <v>0</v>
      </c>
      <c r="C229" s="29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5">
        <f t="shared" si="91"/>
        <v>0</v>
      </c>
      <c r="M229" s="29">
        <v>0</v>
      </c>
      <c r="N229" s="29">
        <v>0</v>
      </c>
      <c r="O229" s="29">
        <v>0</v>
      </c>
      <c r="P229"/>
    </row>
    <row r="230" spans="1:16" x14ac:dyDescent="0.2">
      <c r="A230" s="2"/>
      <c r="B230" s="2"/>
      <c r="C230" s="2"/>
      <c r="D230" s="2"/>
      <c r="E230" s="2"/>
      <c r="F230" s="2"/>
      <c r="G230" s="2"/>
      <c r="H230" s="2"/>
      <c r="I230" s="2"/>
      <c r="K230" s="25"/>
      <c r="P230"/>
    </row>
    <row r="231" spans="1:16" x14ac:dyDescent="0.2">
      <c r="A231" s="3" t="s">
        <v>6</v>
      </c>
      <c r="B231" s="10">
        <f>+B198+B205+B212+B219+B226+B228+B229</f>
        <v>1463969.11</v>
      </c>
      <c r="C231" s="10">
        <f t="shared" ref="C231:I231" si="92">+C198+C205+C212+C219+C226+C228+C229</f>
        <v>341838</v>
      </c>
      <c r="D231" s="10">
        <f t="shared" si="92"/>
        <v>3209.05</v>
      </c>
      <c r="E231" s="10">
        <f t="shared" si="92"/>
        <v>4441.5</v>
      </c>
      <c r="F231" s="10">
        <f t="shared" si="92"/>
        <v>3207653.35</v>
      </c>
      <c r="G231" s="10">
        <f t="shared" si="92"/>
        <v>672955.1</v>
      </c>
      <c r="H231" s="10">
        <f t="shared" si="92"/>
        <v>81509</v>
      </c>
      <c r="I231" s="10">
        <f t="shared" si="92"/>
        <v>559365.28</v>
      </c>
      <c r="J231" s="10">
        <f t="shared" ref="J231:O231" si="93">+J226+J219+J212+J205+J198+J228+J229</f>
        <v>1934.5</v>
      </c>
      <c r="K231" s="10">
        <f>+K226+K219+K212+K205+K198+K228+K229</f>
        <v>39141.15</v>
      </c>
      <c r="L231" s="10">
        <f>+L226+L219+L212+L205+L198+L228+L229</f>
        <v>6376016.0399999991</v>
      </c>
      <c r="M231" s="10">
        <f t="shared" si="93"/>
        <v>958412.44</v>
      </c>
      <c r="N231" s="10">
        <f t="shared" si="93"/>
        <v>86800</v>
      </c>
      <c r="O231" s="10">
        <f t="shared" si="93"/>
        <v>0</v>
      </c>
      <c r="P231"/>
    </row>
    <row r="232" spans="1:16" x14ac:dyDescent="0.2">
      <c r="B232" s="1"/>
      <c r="C232" s="1"/>
      <c r="D232" s="1"/>
      <c r="E232" s="1"/>
      <c r="F232" s="1"/>
      <c r="G232" s="1"/>
      <c r="H232" s="1"/>
      <c r="I232" s="2"/>
      <c r="P232"/>
    </row>
    <row r="233" spans="1:16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P233"/>
    </row>
    <row r="234" spans="1:16" x14ac:dyDescent="0.2">
      <c r="A234" s="11" t="s">
        <v>24</v>
      </c>
      <c r="B234" s="9"/>
      <c r="C234" s="9"/>
      <c r="D234" s="2"/>
      <c r="E234" s="2"/>
      <c r="F234" s="11" t="s">
        <v>0</v>
      </c>
      <c r="G234" s="2"/>
      <c r="H234" s="2"/>
      <c r="I234" s="2"/>
      <c r="P234"/>
    </row>
    <row r="235" spans="1:16" x14ac:dyDescent="0.2">
      <c r="A235" s="9"/>
      <c r="B235" s="9"/>
      <c r="C235" s="9"/>
      <c r="D235" s="2"/>
      <c r="E235" s="2"/>
      <c r="F235" s="11" t="s">
        <v>1</v>
      </c>
      <c r="G235" s="2"/>
      <c r="H235" s="2"/>
      <c r="I235" s="2"/>
      <c r="P235"/>
    </row>
    <row r="236" spans="1:16" x14ac:dyDescent="0.2">
      <c r="A236" s="2"/>
      <c r="B236" s="2"/>
      <c r="C236" s="2"/>
      <c r="D236" s="2"/>
      <c r="E236" s="2"/>
      <c r="F236" s="2"/>
      <c r="G236" s="2"/>
      <c r="H236" s="2"/>
      <c r="I236" s="2"/>
      <c r="P236"/>
    </row>
    <row r="237" spans="1:16" x14ac:dyDescent="0.2">
      <c r="A237" s="4"/>
      <c r="B237" s="11" t="s">
        <v>2</v>
      </c>
      <c r="C237" s="11" t="s">
        <v>38</v>
      </c>
      <c r="D237" s="11" t="s">
        <v>44</v>
      </c>
      <c r="E237" s="11" t="s">
        <v>41</v>
      </c>
      <c r="F237" s="11" t="s">
        <v>4</v>
      </c>
      <c r="G237" s="11" t="s">
        <v>36</v>
      </c>
      <c r="H237" s="11" t="s">
        <v>3</v>
      </c>
      <c r="I237" s="11" t="s">
        <v>40</v>
      </c>
      <c r="J237" s="11" t="s">
        <v>45</v>
      </c>
      <c r="K237" s="11" t="s">
        <v>5</v>
      </c>
      <c r="L237" s="11" t="s">
        <v>6</v>
      </c>
      <c r="M237" s="11" t="s">
        <v>46</v>
      </c>
      <c r="N237" s="11" t="s">
        <v>48</v>
      </c>
      <c r="O237" s="11" t="s">
        <v>49</v>
      </c>
      <c r="P237"/>
    </row>
    <row r="238" spans="1:16" x14ac:dyDescent="0.2">
      <c r="A238" s="2"/>
      <c r="B238" s="2"/>
      <c r="C238" s="2"/>
      <c r="D238" s="2"/>
      <c r="F238" s="2"/>
      <c r="G238" s="2"/>
      <c r="H238" s="2"/>
      <c r="J238" s="2"/>
      <c r="K238" s="2"/>
      <c r="L238" s="2"/>
      <c r="M238" s="2"/>
      <c r="N238" s="2"/>
      <c r="O238" s="2"/>
      <c r="P238"/>
    </row>
    <row r="239" spans="1:16" x14ac:dyDescent="0.2">
      <c r="A239" s="2"/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/>
    </row>
    <row r="240" spans="1:16" x14ac:dyDescent="0.2">
      <c r="A240" s="2"/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/>
    </row>
    <row r="241" spans="1:16" x14ac:dyDescent="0.2">
      <c r="A241" s="2">
        <v>1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/>
    </row>
    <row r="242" spans="1:16" x14ac:dyDescent="0.2">
      <c r="A242" s="7">
        <v>2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/>
    </row>
    <row r="243" spans="1:16" x14ac:dyDescent="0.2">
      <c r="A243" s="7">
        <v>3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/>
    </row>
    <row r="244" spans="1:16" x14ac:dyDescent="0.2">
      <c r="A244" s="3" t="s">
        <v>8</v>
      </c>
      <c r="B244" s="10">
        <f t="shared" ref="B244:K244" si="94">SUM(B239:B243)</f>
        <v>0</v>
      </c>
      <c r="C244" s="10">
        <f t="shared" si="94"/>
        <v>0</v>
      </c>
      <c r="D244" s="10">
        <f t="shared" si="94"/>
        <v>0</v>
      </c>
      <c r="E244" s="10">
        <f t="shared" si="94"/>
        <v>0</v>
      </c>
      <c r="F244" s="10">
        <f t="shared" si="94"/>
        <v>0</v>
      </c>
      <c r="G244" s="10">
        <f t="shared" si="94"/>
        <v>0</v>
      </c>
      <c r="H244" s="10">
        <f t="shared" si="94"/>
        <v>0</v>
      </c>
      <c r="I244" s="10">
        <f t="shared" si="94"/>
        <v>0</v>
      </c>
      <c r="J244" s="10">
        <f t="shared" si="94"/>
        <v>0</v>
      </c>
      <c r="K244" s="10">
        <f t="shared" si="94"/>
        <v>0</v>
      </c>
      <c r="L244" s="10">
        <f>SUM(L239:L243)</f>
        <v>0</v>
      </c>
      <c r="M244" s="10">
        <f t="shared" ref="M244" si="95">SUM(M239:M243)</f>
        <v>0</v>
      </c>
      <c r="N244" s="10">
        <f>SUM(N240:N243)</f>
        <v>0</v>
      </c>
      <c r="O244" s="10">
        <f>SUM(O240:O243)</f>
        <v>0</v>
      </c>
      <c r="P244"/>
    </row>
    <row r="245" spans="1:1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/>
    </row>
    <row r="246" spans="1:16" x14ac:dyDescent="0.2">
      <c r="A246" s="7">
        <v>6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/>
    </row>
    <row r="247" spans="1:16" x14ac:dyDescent="0.2">
      <c r="A247" s="7">
        <v>7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/>
    </row>
    <row r="248" spans="1:16" x14ac:dyDescent="0.2">
      <c r="A248" s="7">
        <v>8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/>
    </row>
    <row r="249" spans="1:16" x14ac:dyDescent="0.2">
      <c r="A249" s="7">
        <v>9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/>
    </row>
    <row r="250" spans="1:16" x14ac:dyDescent="0.2">
      <c r="A250" s="8">
        <v>10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/>
    </row>
    <row r="251" spans="1:16" x14ac:dyDescent="0.2">
      <c r="A251" s="3" t="s">
        <v>8</v>
      </c>
      <c r="B251" s="10">
        <f t="shared" ref="B251:K251" si="96">SUM(B246:B250)</f>
        <v>0</v>
      </c>
      <c r="C251" s="10">
        <f t="shared" si="96"/>
        <v>0</v>
      </c>
      <c r="D251" s="10">
        <f t="shared" si="96"/>
        <v>0</v>
      </c>
      <c r="E251" s="10">
        <f t="shared" si="96"/>
        <v>0</v>
      </c>
      <c r="F251" s="10">
        <f t="shared" si="96"/>
        <v>0</v>
      </c>
      <c r="G251" s="10">
        <f t="shared" si="96"/>
        <v>0</v>
      </c>
      <c r="H251" s="10">
        <f t="shared" si="96"/>
        <v>0</v>
      </c>
      <c r="I251" s="10">
        <f t="shared" si="96"/>
        <v>0</v>
      </c>
      <c r="J251" s="10">
        <f t="shared" si="96"/>
        <v>0</v>
      </c>
      <c r="K251" s="10">
        <f t="shared" si="96"/>
        <v>0</v>
      </c>
      <c r="L251" s="10">
        <f>SUM(L246:L250)</f>
        <v>0</v>
      </c>
      <c r="M251" s="10">
        <f t="shared" ref="M251" si="97">SUM(M246:M250)</f>
        <v>0</v>
      </c>
      <c r="N251" s="10">
        <f t="shared" ref="N251:O251" si="98">SUM(N246:N250)</f>
        <v>0</v>
      </c>
      <c r="O251" s="10">
        <f t="shared" si="98"/>
        <v>0</v>
      </c>
      <c r="P251"/>
    </row>
    <row r="252" spans="1:1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/>
    </row>
    <row r="253" spans="1:16" x14ac:dyDescent="0.2">
      <c r="A253" s="2">
        <v>13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/>
    </row>
    <row r="254" spans="1:16" x14ac:dyDescent="0.2">
      <c r="A254" s="2">
        <v>14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/>
    </row>
    <row r="255" spans="1:16" x14ac:dyDescent="0.2">
      <c r="A255" s="2">
        <v>15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/>
    </row>
    <row r="256" spans="1:16" x14ac:dyDescent="0.2">
      <c r="A256" s="2">
        <v>16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/>
    </row>
    <row r="257" spans="1:16" x14ac:dyDescent="0.2">
      <c r="A257" s="2">
        <v>17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/>
    </row>
    <row r="258" spans="1:16" x14ac:dyDescent="0.2">
      <c r="A258" s="3" t="s">
        <v>8</v>
      </c>
      <c r="B258" s="10">
        <f t="shared" ref="B258:K258" si="99">SUM(B253:B257)</f>
        <v>0</v>
      </c>
      <c r="C258" s="10">
        <f t="shared" si="99"/>
        <v>0</v>
      </c>
      <c r="D258" s="10">
        <f t="shared" si="99"/>
        <v>0</v>
      </c>
      <c r="E258" s="10">
        <f t="shared" si="99"/>
        <v>0</v>
      </c>
      <c r="F258" s="10">
        <f t="shared" si="99"/>
        <v>0</v>
      </c>
      <c r="G258" s="10">
        <f t="shared" si="99"/>
        <v>0</v>
      </c>
      <c r="H258" s="10">
        <f t="shared" si="99"/>
        <v>0</v>
      </c>
      <c r="I258" s="10">
        <f t="shared" si="99"/>
        <v>0</v>
      </c>
      <c r="J258" s="10">
        <f t="shared" si="99"/>
        <v>0</v>
      </c>
      <c r="K258" s="10">
        <f t="shared" si="99"/>
        <v>0</v>
      </c>
      <c r="L258" s="10">
        <f>SUM(L253:L257)</f>
        <v>0</v>
      </c>
      <c r="M258" s="10">
        <f t="shared" ref="M258" si="100">SUM(M253:M257)</f>
        <v>0</v>
      </c>
      <c r="N258" s="10">
        <f>SUM(N253:N257)</f>
        <v>0</v>
      </c>
      <c r="O258" s="10">
        <f>SUM(O253:O257)</f>
        <v>0</v>
      </c>
      <c r="P258"/>
    </row>
    <row r="259" spans="1:1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/>
    </row>
    <row r="260" spans="1:16" x14ac:dyDescent="0.2">
      <c r="A260" s="2">
        <v>20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/>
    </row>
    <row r="261" spans="1:16" x14ac:dyDescent="0.2">
      <c r="A261" s="2">
        <v>21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/>
    </row>
    <row r="262" spans="1:16" x14ac:dyDescent="0.2">
      <c r="A262" s="2">
        <v>22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/>
    </row>
    <row r="263" spans="1:16" x14ac:dyDescent="0.2">
      <c r="A263" s="2">
        <v>23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/>
    </row>
    <row r="264" spans="1:16" x14ac:dyDescent="0.2">
      <c r="A264" s="2">
        <v>24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/>
    </row>
    <row r="265" spans="1:16" x14ac:dyDescent="0.2">
      <c r="A265" s="3" t="s">
        <v>8</v>
      </c>
      <c r="B265" s="10">
        <f t="shared" ref="B265:K265" si="101">SUM(B260:B264)</f>
        <v>0</v>
      </c>
      <c r="C265" s="10">
        <f t="shared" si="101"/>
        <v>0</v>
      </c>
      <c r="D265" s="10">
        <f t="shared" si="101"/>
        <v>0</v>
      </c>
      <c r="E265" s="10">
        <f t="shared" si="101"/>
        <v>0</v>
      </c>
      <c r="F265" s="10">
        <f t="shared" si="101"/>
        <v>0</v>
      </c>
      <c r="G265" s="10">
        <f t="shared" si="101"/>
        <v>0</v>
      </c>
      <c r="H265" s="10">
        <f t="shared" si="101"/>
        <v>0</v>
      </c>
      <c r="I265" s="10">
        <f t="shared" si="101"/>
        <v>0</v>
      </c>
      <c r="J265" s="10">
        <f t="shared" si="101"/>
        <v>0</v>
      </c>
      <c r="K265" s="10">
        <f t="shared" si="101"/>
        <v>0</v>
      </c>
      <c r="L265" s="10">
        <f>SUM(L260:L264)</f>
        <v>0</v>
      </c>
      <c r="M265" s="10">
        <f t="shared" ref="M265" si="102">SUM(M260:M264)</f>
        <v>0</v>
      </c>
      <c r="N265" s="10">
        <f>SUM(N260:N263)</f>
        <v>0</v>
      </c>
      <c r="O265" s="10">
        <f>SUM(O260:O263)</f>
        <v>0</v>
      </c>
      <c r="P265"/>
    </row>
    <row r="266" spans="1:1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5"/>
      <c r="O266" s="5"/>
      <c r="P266"/>
    </row>
    <row r="267" spans="1:16" x14ac:dyDescent="0.2">
      <c r="A267" s="2">
        <v>27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/>
    </row>
    <row r="268" spans="1:16" x14ac:dyDescent="0.2">
      <c r="A268" s="2">
        <v>28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/>
    </row>
    <row r="269" spans="1:16" x14ac:dyDescent="0.2">
      <c r="A269" s="2">
        <v>29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/>
    </row>
    <row r="270" spans="1:16" x14ac:dyDescent="0.2">
      <c r="A270" s="2">
        <v>30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/>
    </row>
    <row r="271" spans="1:16" x14ac:dyDescent="0.2">
      <c r="A271" s="2"/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/>
    </row>
    <row r="272" spans="1:16" x14ac:dyDescent="0.2">
      <c r="A272" s="3" t="s">
        <v>8</v>
      </c>
      <c r="B272" s="10">
        <f t="shared" ref="B272:K272" si="103">SUM(B267:B271)</f>
        <v>0</v>
      </c>
      <c r="C272" s="10">
        <f t="shared" si="103"/>
        <v>0</v>
      </c>
      <c r="D272" s="10">
        <f t="shared" si="103"/>
        <v>0</v>
      </c>
      <c r="E272" s="10">
        <f t="shared" si="103"/>
        <v>0</v>
      </c>
      <c r="F272" s="10">
        <f t="shared" si="103"/>
        <v>0</v>
      </c>
      <c r="G272" s="10">
        <f t="shared" si="103"/>
        <v>0</v>
      </c>
      <c r="H272" s="10">
        <f t="shared" si="103"/>
        <v>0</v>
      </c>
      <c r="I272" s="10">
        <f t="shared" si="103"/>
        <v>0</v>
      </c>
      <c r="J272" s="10">
        <f t="shared" si="103"/>
        <v>0</v>
      </c>
      <c r="K272" s="10">
        <f t="shared" si="103"/>
        <v>0</v>
      </c>
      <c r="L272" s="10">
        <f>SUM(L267:L271)</f>
        <v>0</v>
      </c>
      <c r="M272" s="10">
        <f t="shared" ref="M272" si="104">SUM(M267:M271)</f>
        <v>0</v>
      </c>
      <c r="N272" s="10">
        <f>SUM(N266:N270)</f>
        <v>0</v>
      </c>
      <c r="O272" s="10">
        <f>SUM(O266:O269)</f>
        <v>0</v>
      </c>
      <c r="P272"/>
    </row>
    <row r="273" spans="1:1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6"/>
      <c r="P273"/>
    </row>
    <row r="274" spans="1:16" x14ac:dyDescent="0.2">
      <c r="A274" s="2" t="s">
        <v>9</v>
      </c>
      <c r="B274" s="29">
        <v>0</v>
      </c>
      <c r="C274" s="29">
        <v>0</v>
      </c>
      <c r="D274" s="29">
        <v>0</v>
      </c>
      <c r="E274" s="29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/>
    </row>
    <row r="275" spans="1:16" x14ac:dyDescent="0.2">
      <c r="A275" s="2" t="s">
        <v>10</v>
      </c>
      <c r="B275" s="29">
        <v>0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/>
    </row>
    <row r="276" spans="1:16" x14ac:dyDescent="0.2">
      <c r="A276" s="2"/>
      <c r="B276" s="2"/>
      <c r="C276" s="2"/>
      <c r="D276" s="2"/>
      <c r="E276" s="2"/>
      <c r="F276" s="2"/>
      <c r="G276" s="2"/>
      <c r="H276" s="2"/>
      <c r="I276" s="2"/>
      <c r="K276" s="25"/>
      <c r="P276"/>
    </row>
    <row r="277" spans="1:16" x14ac:dyDescent="0.2">
      <c r="A277" s="3" t="s">
        <v>6</v>
      </c>
      <c r="B277" s="10">
        <f>+B244+B251+B258+B265+B272+B274+B275</f>
        <v>0</v>
      </c>
      <c r="C277" s="10">
        <f t="shared" ref="C277:I277" si="105">+C244+C251+C258+C265+C272+C274+C275</f>
        <v>0</v>
      </c>
      <c r="D277" s="10">
        <f t="shared" si="105"/>
        <v>0</v>
      </c>
      <c r="E277" s="10">
        <f t="shared" si="105"/>
        <v>0</v>
      </c>
      <c r="F277" s="10">
        <f t="shared" si="105"/>
        <v>0</v>
      </c>
      <c r="G277" s="10">
        <f t="shared" si="105"/>
        <v>0</v>
      </c>
      <c r="H277" s="10">
        <f t="shared" si="105"/>
        <v>0</v>
      </c>
      <c r="I277" s="10">
        <f t="shared" si="105"/>
        <v>0</v>
      </c>
      <c r="J277" s="10">
        <f t="shared" ref="J277:O277" si="106">+J272+J265+J258+J251+J244+J274+J275</f>
        <v>0</v>
      </c>
      <c r="K277" s="10">
        <f t="shared" si="106"/>
        <v>0</v>
      </c>
      <c r="L277" s="10">
        <f t="shared" si="106"/>
        <v>0</v>
      </c>
      <c r="M277" s="10">
        <f t="shared" si="106"/>
        <v>0</v>
      </c>
      <c r="N277" s="10">
        <f t="shared" si="106"/>
        <v>0</v>
      </c>
      <c r="O277" s="10">
        <f t="shared" si="106"/>
        <v>0</v>
      </c>
      <c r="P277"/>
    </row>
    <row r="278" spans="1:16" x14ac:dyDescent="0.2">
      <c r="B278" s="1"/>
      <c r="C278" s="1"/>
      <c r="D278" s="1"/>
      <c r="E278" s="1"/>
      <c r="F278" s="1"/>
      <c r="G278" s="1"/>
      <c r="H278" s="1"/>
      <c r="I278" s="2"/>
      <c r="P278"/>
    </row>
    <row r="279" spans="1:16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P279"/>
    </row>
    <row r="280" spans="1:16" x14ac:dyDescent="0.2">
      <c r="A280" s="11" t="s">
        <v>25</v>
      </c>
      <c r="B280" s="9"/>
      <c r="C280" s="9"/>
      <c r="D280" s="2"/>
      <c r="E280" s="2"/>
      <c r="F280" s="11" t="s">
        <v>0</v>
      </c>
      <c r="G280" s="2"/>
      <c r="H280" s="2"/>
      <c r="I280" s="2"/>
      <c r="P280"/>
    </row>
    <row r="281" spans="1:16" x14ac:dyDescent="0.2">
      <c r="A281" s="9"/>
      <c r="B281" s="9"/>
      <c r="C281" s="9"/>
      <c r="D281" s="2"/>
      <c r="E281" s="2"/>
      <c r="F281" s="11" t="s">
        <v>1</v>
      </c>
      <c r="G281" s="2"/>
      <c r="H281" s="2"/>
      <c r="I281" s="2"/>
      <c r="P281"/>
    </row>
    <row r="282" spans="1:16" x14ac:dyDescent="0.2">
      <c r="A282" s="2"/>
      <c r="B282" s="2"/>
      <c r="C282" s="2"/>
      <c r="D282" s="2"/>
      <c r="E282" s="2"/>
      <c r="F282" s="2"/>
      <c r="G282" s="2"/>
      <c r="H282" s="2"/>
      <c r="I282" s="2"/>
      <c r="P282"/>
    </row>
    <row r="283" spans="1:16" x14ac:dyDescent="0.2">
      <c r="A283" s="4"/>
      <c r="B283" s="11" t="s">
        <v>2</v>
      </c>
      <c r="C283" s="11" t="s">
        <v>38</v>
      </c>
      <c r="D283" s="11" t="s">
        <v>44</v>
      </c>
      <c r="E283" s="11" t="s">
        <v>41</v>
      </c>
      <c r="F283" s="11" t="s">
        <v>4</v>
      </c>
      <c r="G283" s="11" t="s">
        <v>36</v>
      </c>
      <c r="H283" s="11" t="s">
        <v>3</v>
      </c>
      <c r="I283" s="11" t="s">
        <v>40</v>
      </c>
      <c r="J283" s="11" t="s">
        <v>45</v>
      </c>
      <c r="K283" s="11" t="s">
        <v>5</v>
      </c>
      <c r="L283" s="11" t="s">
        <v>6</v>
      </c>
      <c r="M283" s="11" t="s">
        <v>46</v>
      </c>
      <c r="N283" s="11" t="s">
        <v>48</v>
      </c>
      <c r="O283" s="11" t="s">
        <v>49</v>
      </c>
      <c r="P283"/>
    </row>
    <row r="284" spans="1:16" x14ac:dyDescent="0.2">
      <c r="A284" s="2"/>
      <c r="B284" s="2"/>
      <c r="C284" s="2"/>
      <c r="D284" s="2"/>
      <c r="F284" s="2"/>
      <c r="G284" s="2"/>
      <c r="H284" s="2"/>
      <c r="J284" s="2"/>
      <c r="K284" s="2"/>
      <c r="L284" s="2"/>
      <c r="M284" s="2"/>
      <c r="N284" s="2"/>
      <c r="O284" s="2"/>
      <c r="P284"/>
    </row>
    <row r="285" spans="1:16" x14ac:dyDescent="0.2">
      <c r="A285" s="2"/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/>
    </row>
    <row r="286" spans="1:16" x14ac:dyDescent="0.2">
      <c r="A286" s="2"/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/>
    </row>
    <row r="287" spans="1:16" x14ac:dyDescent="0.2">
      <c r="A287" s="2"/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/>
    </row>
    <row r="288" spans="1:16" x14ac:dyDescent="0.2">
      <c r="A288" s="7"/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/>
    </row>
    <row r="289" spans="1:16" x14ac:dyDescent="0.2">
      <c r="A289" s="7">
        <v>1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/>
    </row>
    <row r="290" spans="1:16" x14ac:dyDescent="0.2">
      <c r="A290" s="3" t="s">
        <v>8</v>
      </c>
      <c r="B290" s="10">
        <f t="shared" ref="B290:K290" si="107">SUM(B285:B289)</f>
        <v>0</v>
      </c>
      <c r="C290" s="10">
        <f t="shared" si="107"/>
        <v>0</v>
      </c>
      <c r="D290" s="10">
        <f t="shared" si="107"/>
        <v>0</v>
      </c>
      <c r="E290" s="10">
        <f t="shared" si="107"/>
        <v>0</v>
      </c>
      <c r="F290" s="10">
        <f t="shared" si="107"/>
        <v>0</v>
      </c>
      <c r="G290" s="10">
        <f t="shared" si="107"/>
        <v>0</v>
      </c>
      <c r="H290" s="10">
        <f t="shared" si="107"/>
        <v>0</v>
      </c>
      <c r="I290" s="10">
        <f t="shared" si="107"/>
        <v>0</v>
      </c>
      <c r="J290" s="10">
        <f t="shared" si="107"/>
        <v>0</v>
      </c>
      <c r="K290" s="10">
        <f t="shared" si="107"/>
        <v>0</v>
      </c>
      <c r="L290" s="10">
        <f>SUM(L285:L289)</f>
        <v>0</v>
      </c>
      <c r="M290" s="10">
        <f t="shared" ref="M290" si="108">SUM(M285:M289)</f>
        <v>0</v>
      </c>
      <c r="N290" s="10">
        <f>SUM(N286:N289)</f>
        <v>0</v>
      </c>
      <c r="O290" s="10">
        <f>SUM(O286:O289)</f>
        <v>0</v>
      </c>
      <c r="P290"/>
    </row>
    <row r="291" spans="1:1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/>
    </row>
    <row r="292" spans="1:16" x14ac:dyDescent="0.2">
      <c r="A292" s="7">
        <v>4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/>
    </row>
    <row r="293" spans="1:16" x14ac:dyDescent="0.2">
      <c r="A293" s="7">
        <v>5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/>
    </row>
    <row r="294" spans="1:16" x14ac:dyDescent="0.2">
      <c r="A294" s="7">
        <v>6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/>
    </row>
    <row r="295" spans="1:16" x14ac:dyDescent="0.2">
      <c r="A295" s="7">
        <v>7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/>
    </row>
    <row r="296" spans="1:16" x14ac:dyDescent="0.2">
      <c r="A296" s="8">
        <v>8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/>
    </row>
    <row r="297" spans="1:16" x14ac:dyDescent="0.2">
      <c r="A297" s="3" t="s">
        <v>8</v>
      </c>
      <c r="B297" s="10">
        <f t="shared" ref="B297:K297" si="109">SUM(B292:B296)</f>
        <v>0</v>
      </c>
      <c r="C297" s="10">
        <f t="shared" si="109"/>
        <v>0</v>
      </c>
      <c r="D297" s="10">
        <f t="shared" si="109"/>
        <v>0</v>
      </c>
      <c r="E297" s="10">
        <f t="shared" si="109"/>
        <v>0</v>
      </c>
      <c r="F297" s="10">
        <f t="shared" si="109"/>
        <v>0</v>
      </c>
      <c r="G297" s="10">
        <f t="shared" si="109"/>
        <v>0</v>
      </c>
      <c r="H297" s="10">
        <f t="shared" si="109"/>
        <v>0</v>
      </c>
      <c r="I297" s="10">
        <f t="shared" si="109"/>
        <v>0</v>
      </c>
      <c r="J297" s="10">
        <f t="shared" si="109"/>
        <v>0</v>
      </c>
      <c r="K297" s="10">
        <f t="shared" si="109"/>
        <v>0</v>
      </c>
      <c r="L297" s="10">
        <f>SUM(L292:L296)</f>
        <v>0</v>
      </c>
      <c r="M297" s="10">
        <f t="shared" ref="M297" si="110">SUM(M292:M296)</f>
        <v>0</v>
      </c>
      <c r="N297" s="10">
        <f t="shared" ref="N297:O297" si="111">SUM(N292:N296)</f>
        <v>0</v>
      </c>
      <c r="O297" s="10">
        <f t="shared" si="111"/>
        <v>0</v>
      </c>
      <c r="P297"/>
    </row>
    <row r="298" spans="1:1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/>
    </row>
    <row r="299" spans="1:16" x14ac:dyDescent="0.2">
      <c r="A299" s="2">
        <v>11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/>
    </row>
    <row r="300" spans="1:16" x14ac:dyDescent="0.2">
      <c r="A300" s="2">
        <v>12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/>
    </row>
    <row r="301" spans="1:16" x14ac:dyDescent="0.2">
      <c r="A301" s="2">
        <v>13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/>
    </row>
    <row r="302" spans="1:16" x14ac:dyDescent="0.2">
      <c r="A302" s="2">
        <v>14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/>
    </row>
    <row r="303" spans="1:16" x14ac:dyDescent="0.2">
      <c r="A303" s="2">
        <v>15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/>
    </row>
    <row r="304" spans="1:16" x14ac:dyDescent="0.2">
      <c r="A304" s="3" t="s">
        <v>8</v>
      </c>
      <c r="B304" s="10">
        <f t="shared" ref="B304:K304" si="112">SUM(B299:B303)</f>
        <v>0</v>
      </c>
      <c r="C304" s="10">
        <f t="shared" si="112"/>
        <v>0</v>
      </c>
      <c r="D304" s="10">
        <f t="shared" si="112"/>
        <v>0</v>
      </c>
      <c r="E304" s="10">
        <f t="shared" si="112"/>
        <v>0</v>
      </c>
      <c r="F304" s="10">
        <f t="shared" si="112"/>
        <v>0</v>
      </c>
      <c r="G304" s="10">
        <f t="shared" si="112"/>
        <v>0</v>
      </c>
      <c r="H304" s="10">
        <f t="shared" si="112"/>
        <v>0</v>
      </c>
      <c r="I304" s="10">
        <f t="shared" si="112"/>
        <v>0</v>
      </c>
      <c r="J304" s="10">
        <f t="shared" si="112"/>
        <v>0</v>
      </c>
      <c r="K304" s="10">
        <f t="shared" si="112"/>
        <v>0</v>
      </c>
      <c r="L304" s="10">
        <f>SUM(L299:L303)</f>
        <v>0</v>
      </c>
      <c r="M304" s="10">
        <f t="shared" ref="M304" si="113">SUM(M299:M303)</f>
        <v>0</v>
      </c>
      <c r="N304" s="10">
        <f>SUM(N299:N303)</f>
        <v>0</v>
      </c>
      <c r="O304" s="10">
        <f>SUM(O299:O303)</f>
        <v>0</v>
      </c>
      <c r="P304"/>
    </row>
    <row r="305" spans="1:1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/>
    </row>
    <row r="306" spans="1:16" x14ac:dyDescent="0.2">
      <c r="A306" s="2">
        <v>18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/>
    </row>
    <row r="307" spans="1:16" x14ac:dyDescent="0.2">
      <c r="A307" s="2">
        <v>19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/>
    </row>
    <row r="308" spans="1:16" x14ac:dyDescent="0.2">
      <c r="A308" s="2">
        <v>20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/>
    </row>
    <row r="309" spans="1:16" x14ac:dyDescent="0.2">
      <c r="A309" s="2">
        <v>21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/>
    </row>
    <row r="310" spans="1:16" x14ac:dyDescent="0.2">
      <c r="A310" s="2">
        <v>22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/>
    </row>
    <row r="311" spans="1:16" x14ac:dyDescent="0.2">
      <c r="A311" s="3" t="s">
        <v>8</v>
      </c>
      <c r="B311" s="10">
        <f t="shared" ref="B311:K311" si="114">SUM(B306:B310)</f>
        <v>0</v>
      </c>
      <c r="C311" s="10">
        <f t="shared" si="114"/>
        <v>0</v>
      </c>
      <c r="D311" s="10">
        <f t="shared" si="114"/>
        <v>0</v>
      </c>
      <c r="E311" s="10">
        <f t="shared" si="114"/>
        <v>0</v>
      </c>
      <c r="F311" s="10">
        <f t="shared" si="114"/>
        <v>0</v>
      </c>
      <c r="G311" s="10">
        <f t="shared" si="114"/>
        <v>0</v>
      </c>
      <c r="H311" s="10">
        <f t="shared" si="114"/>
        <v>0</v>
      </c>
      <c r="I311" s="10">
        <f t="shared" si="114"/>
        <v>0</v>
      </c>
      <c r="J311" s="10">
        <f t="shared" si="114"/>
        <v>0</v>
      </c>
      <c r="K311" s="10">
        <f t="shared" si="114"/>
        <v>0</v>
      </c>
      <c r="L311" s="10">
        <f>SUM(L306:L310)</f>
        <v>0</v>
      </c>
      <c r="M311" s="10">
        <f t="shared" ref="M311" si="115">SUM(M306:M310)</f>
        <v>0</v>
      </c>
      <c r="N311" s="10">
        <f>SUM(N306:N309)</f>
        <v>0</v>
      </c>
      <c r="O311" s="10">
        <f>SUM(O306:O309)</f>
        <v>0</v>
      </c>
      <c r="P311"/>
    </row>
    <row r="312" spans="1:1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5"/>
      <c r="O312" s="5"/>
      <c r="P312"/>
    </row>
    <row r="313" spans="1:16" x14ac:dyDescent="0.2">
      <c r="A313" s="2">
        <v>25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/>
    </row>
    <row r="314" spans="1:16" x14ac:dyDescent="0.2">
      <c r="A314" s="2">
        <v>26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/>
    </row>
    <row r="315" spans="1:16" x14ac:dyDescent="0.2">
      <c r="A315" s="2">
        <v>27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/>
    </row>
    <row r="316" spans="1:16" x14ac:dyDescent="0.2">
      <c r="A316" s="2">
        <v>28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/>
    </row>
    <row r="317" spans="1:16" x14ac:dyDescent="0.2">
      <c r="A317" s="2">
        <v>29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/>
    </row>
    <row r="318" spans="1:16" x14ac:dyDescent="0.2">
      <c r="A318" s="3" t="s">
        <v>8</v>
      </c>
      <c r="B318" s="10">
        <f t="shared" ref="B318:K318" si="116">SUM(B313:B317)</f>
        <v>0</v>
      </c>
      <c r="C318" s="10">
        <f t="shared" si="116"/>
        <v>0</v>
      </c>
      <c r="D318" s="10">
        <f t="shared" si="116"/>
        <v>0</v>
      </c>
      <c r="E318" s="10">
        <f t="shared" si="116"/>
        <v>0</v>
      </c>
      <c r="F318" s="10">
        <f t="shared" si="116"/>
        <v>0</v>
      </c>
      <c r="G318" s="10">
        <f t="shared" si="116"/>
        <v>0</v>
      </c>
      <c r="H318" s="10">
        <f t="shared" si="116"/>
        <v>0</v>
      </c>
      <c r="I318" s="10">
        <f t="shared" si="116"/>
        <v>0</v>
      </c>
      <c r="J318" s="10">
        <f t="shared" si="116"/>
        <v>0</v>
      </c>
      <c r="K318" s="10">
        <f t="shared" si="116"/>
        <v>0</v>
      </c>
      <c r="L318" s="10">
        <f>SUM(L313:L317)</f>
        <v>0</v>
      </c>
      <c r="M318" s="10">
        <f t="shared" ref="M318" si="117">SUM(M313:M317)</f>
        <v>0</v>
      </c>
      <c r="N318" s="10">
        <f>SUM(N312:N316)</f>
        <v>0</v>
      </c>
      <c r="O318" s="10">
        <f>SUM(O312:O315)</f>
        <v>0</v>
      </c>
      <c r="P318"/>
    </row>
    <row r="319" spans="1:1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  <c r="O319" s="6"/>
      <c r="P319"/>
    </row>
    <row r="320" spans="1:16" x14ac:dyDescent="0.2">
      <c r="A320" s="2">
        <v>31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/>
    </row>
    <row r="321" spans="1:16" x14ac:dyDescent="0.2">
      <c r="A321" s="3" t="s">
        <v>8</v>
      </c>
      <c r="B321" s="10">
        <f>SUM(B320:B320)</f>
        <v>0</v>
      </c>
      <c r="C321" s="10">
        <f t="shared" ref="C321:N321" si="118">SUM(C320:C320)</f>
        <v>0</v>
      </c>
      <c r="D321" s="10">
        <f t="shared" si="118"/>
        <v>0</v>
      </c>
      <c r="E321" s="10">
        <f t="shared" si="118"/>
        <v>0</v>
      </c>
      <c r="F321" s="10">
        <f t="shared" si="118"/>
        <v>0</v>
      </c>
      <c r="G321" s="10">
        <f t="shared" si="118"/>
        <v>0</v>
      </c>
      <c r="H321" s="10">
        <f t="shared" si="118"/>
        <v>0</v>
      </c>
      <c r="I321" s="10">
        <f t="shared" si="118"/>
        <v>0</v>
      </c>
      <c r="J321" s="10">
        <f t="shared" si="118"/>
        <v>0</v>
      </c>
      <c r="K321" s="10">
        <f t="shared" si="118"/>
        <v>0</v>
      </c>
      <c r="L321" s="10">
        <f t="shared" si="118"/>
        <v>0</v>
      </c>
      <c r="M321" s="10">
        <f t="shared" si="118"/>
        <v>0</v>
      </c>
      <c r="N321" s="10">
        <f t="shared" si="118"/>
        <v>0</v>
      </c>
      <c r="O321" s="10">
        <f>SUM(O320:O320)</f>
        <v>0</v>
      </c>
      <c r="P321"/>
    </row>
    <row r="322" spans="1:1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  <c r="O322" s="6"/>
      <c r="P322"/>
    </row>
    <row r="323" spans="1:16" x14ac:dyDescent="0.2">
      <c r="A323" s="2" t="s">
        <v>9</v>
      </c>
      <c r="B323" s="29">
        <v>0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/>
    </row>
    <row r="324" spans="1:16" x14ac:dyDescent="0.2">
      <c r="A324" s="2" t="s">
        <v>10</v>
      </c>
      <c r="B324" s="29">
        <v>0</v>
      </c>
      <c r="C324" s="29">
        <v>0</v>
      </c>
      <c r="D324" s="29">
        <v>0</v>
      </c>
      <c r="E324" s="29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  <c r="P324"/>
    </row>
    <row r="325" spans="1:16" x14ac:dyDescent="0.2">
      <c r="A325" s="2"/>
      <c r="B325" s="2"/>
      <c r="C325" s="2"/>
      <c r="D325" s="2"/>
      <c r="E325" s="2"/>
      <c r="F325" s="2"/>
      <c r="G325" s="2"/>
      <c r="H325" s="2"/>
      <c r="I325" s="2"/>
      <c r="K325" s="25"/>
      <c r="P325"/>
    </row>
    <row r="326" spans="1:16" x14ac:dyDescent="0.2">
      <c r="A326" s="3" t="s">
        <v>6</v>
      </c>
      <c r="B326" s="10">
        <f>+B290+B297+B304+B311+B318+B323+B324+B321</f>
        <v>0</v>
      </c>
      <c r="C326" s="10">
        <f t="shared" ref="C326:O326" si="119">+C290+C297+C304+C311+C318+C323+C324+C321</f>
        <v>0</v>
      </c>
      <c r="D326" s="10">
        <f t="shared" si="119"/>
        <v>0</v>
      </c>
      <c r="E326" s="10">
        <f t="shared" si="119"/>
        <v>0</v>
      </c>
      <c r="F326" s="10">
        <f t="shared" si="119"/>
        <v>0</v>
      </c>
      <c r="G326" s="10">
        <f t="shared" si="119"/>
        <v>0</v>
      </c>
      <c r="H326" s="10">
        <f t="shared" si="119"/>
        <v>0</v>
      </c>
      <c r="I326" s="10">
        <f t="shared" si="119"/>
        <v>0</v>
      </c>
      <c r="J326" s="10">
        <f t="shared" si="119"/>
        <v>0</v>
      </c>
      <c r="K326" s="10">
        <f t="shared" si="119"/>
        <v>0</v>
      </c>
      <c r="L326" s="10">
        <f t="shared" si="119"/>
        <v>0</v>
      </c>
      <c r="M326" s="10">
        <f t="shared" si="119"/>
        <v>0</v>
      </c>
      <c r="N326" s="10">
        <f t="shared" si="119"/>
        <v>0</v>
      </c>
      <c r="O326" s="10">
        <f t="shared" si="119"/>
        <v>0</v>
      </c>
      <c r="P326"/>
    </row>
    <row r="327" spans="1:16" x14ac:dyDescent="0.2">
      <c r="B327" s="1"/>
      <c r="C327" s="1"/>
      <c r="D327" s="1"/>
      <c r="E327" s="1"/>
      <c r="F327" s="1"/>
      <c r="G327" s="1"/>
      <c r="H327" s="1"/>
      <c r="I327" s="2"/>
      <c r="P327"/>
    </row>
    <row r="328" spans="1:16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P328"/>
    </row>
    <row r="329" spans="1:16" x14ac:dyDescent="0.2">
      <c r="A329" s="11" t="s">
        <v>26</v>
      </c>
      <c r="B329" s="9"/>
      <c r="C329" s="9"/>
      <c r="D329" s="2"/>
      <c r="E329" s="2"/>
      <c r="F329" s="11" t="s">
        <v>0</v>
      </c>
      <c r="G329" s="2"/>
      <c r="H329" s="2"/>
      <c r="I329" s="2"/>
      <c r="P329"/>
    </row>
    <row r="330" spans="1:16" x14ac:dyDescent="0.2">
      <c r="A330" s="9"/>
      <c r="B330" s="9"/>
      <c r="C330" s="9"/>
      <c r="D330" s="2"/>
      <c r="E330" s="2"/>
      <c r="F330" s="11" t="s">
        <v>1</v>
      </c>
      <c r="G330" s="2"/>
      <c r="H330" s="2"/>
      <c r="I330" s="2"/>
      <c r="P330"/>
    </row>
    <row r="331" spans="1:16" x14ac:dyDescent="0.2">
      <c r="A331" s="2"/>
      <c r="B331" s="2"/>
      <c r="C331" s="2"/>
      <c r="D331" s="2"/>
      <c r="E331" s="2"/>
      <c r="F331" s="2"/>
      <c r="G331" s="2"/>
      <c r="H331" s="2"/>
      <c r="I331" s="2"/>
      <c r="P331"/>
    </row>
    <row r="332" spans="1:16" x14ac:dyDescent="0.2">
      <c r="A332" s="4"/>
      <c r="B332" s="11" t="s">
        <v>2</v>
      </c>
      <c r="C332" s="11" t="s">
        <v>38</v>
      </c>
      <c r="D332" s="11" t="s">
        <v>44</v>
      </c>
      <c r="E332" s="11" t="s">
        <v>41</v>
      </c>
      <c r="F332" s="11" t="s">
        <v>4</v>
      </c>
      <c r="G332" s="11" t="s">
        <v>36</v>
      </c>
      <c r="H332" s="11" t="s">
        <v>3</v>
      </c>
      <c r="I332" s="11" t="s">
        <v>40</v>
      </c>
      <c r="J332" s="11" t="s">
        <v>45</v>
      </c>
      <c r="K332" s="11" t="s">
        <v>5</v>
      </c>
      <c r="L332" s="11" t="s">
        <v>6</v>
      </c>
      <c r="M332" s="11" t="s">
        <v>46</v>
      </c>
      <c r="N332" s="11" t="s">
        <v>48</v>
      </c>
      <c r="O332" s="11" t="s">
        <v>49</v>
      </c>
      <c r="P332"/>
    </row>
    <row r="333" spans="1:16" x14ac:dyDescent="0.2">
      <c r="A333" s="2"/>
      <c r="B333" s="2"/>
      <c r="C333" s="2"/>
      <c r="D333" s="2"/>
      <c r="F333" s="2"/>
      <c r="G333" s="2"/>
      <c r="H333" s="2"/>
      <c r="J333" s="2"/>
      <c r="K333" s="2"/>
      <c r="L333" s="2"/>
      <c r="M333" s="2"/>
      <c r="N333" s="2"/>
      <c r="O333" s="2"/>
      <c r="P333"/>
    </row>
    <row r="334" spans="1:16" x14ac:dyDescent="0.2">
      <c r="A334" s="2">
        <v>1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/>
    </row>
    <row r="335" spans="1:16" x14ac:dyDescent="0.2">
      <c r="A335" s="2">
        <v>2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/>
    </row>
    <row r="336" spans="1:16" x14ac:dyDescent="0.2">
      <c r="A336" s="2">
        <v>3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/>
    </row>
    <row r="337" spans="1:16" x14ac:dyDescent="0.2">
      <c r="A337" s="7">
        <v>4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/>
    </row>
    <row r="338" spans="1:16" x14ac:dyDescent="0.2">
      <c r="A338" s="7">
        <v>5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/>
    </row>
    <row r="339" spans="1:16" x14ac:dyDescent="0.2">
      <c r="A339" s="3" t="s">
        <v>8</v>
      </c>
      <c r="B339" s="10">
        <f t="shared" ref="B339:K339" si="120">SUM(B334:B338)</f>
        <v>0</v>
      </c>
      <c r="C339" s="10">
        <f t="shared" si="120"/>
        <v>0</v>
      </c>
      <c r="D339" s="10">
        <f t="shared" si="120"/>
        <v>0</v>
      </c>
      <c r="E339" s="10">
        <f t="shared" si="120"/>
        <v>0</v>
      </c>
      <c r="F339" s="10">
        <f t="shared" si="120"/>
        <v>0</v>
      </c>
      <c r="G339" s="10">
        <f t="shared" si="120"/>
        <v>0</v>
      </c>
      <c r="H339" s="10">
        <f t="shared" si="120"/>
        <v>0</v>
      </c>
      <c r="I339" s="10">
        <f t="shared" si="120"/>
        <v>0</v>
      </c>
      <c r="J339" s="10">
        <f t="shared" si="120"/>
        <v>0</v>
      </c>
      <c r="K339" s="10">
        <f t="shared" si="120"/>
        <v>0</v>
      </c>
      <c r="L339" s="10">
        <f>SUM(L334:L338)</f>
        <v>0</v>
      </c>
      <c r="M339" s="10">
        <f t="shared" ref="M339" si="121">SUM(M334:M338)</f>
        <v>0</v>
      </c>
      <c r="N339" s="10">
        <f>SUM(N335:N338)</f>
        <v>0</v>
      </c>
      <c r="O339" s="10">
        <f>SUM(O335:O338)</f>
        <v>0</v>
      </c>
      <c r="P339"/>
    </row>
    <row r="340" spans="1:1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/>
    </row>
    <row r="341" spans="1:16" x14ac:dyDescent="0.2">
      <c r="A341" s="7">
        <v>8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/>
    </row>
    <row r="342" spans="1:16" x14ac:dyDescent="0.2">
      <c r="A342" s="7">
        <v>9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/>
    </row>
    <row r="343" spans="1:16" x14ac:dyDescent="0.2">
      <c r="A343" s="7">
        <v>10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/>
    </row>
    <row r="344" spans="1:16" x14ac:dyDescent="0.2">
      <c r="A344" s="7">
        <v>11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/>
    </row>
    <row r="345" spans="1:16" x14ac:dyDescent="0.2">
      <c r="A345" s="8">
        <v>12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/>
    </row>
    <row r="346" spans="1:16" x14ac:dyDescent="0.2">
      <c r="A346" s="3" t="s">
        <v>8</v>
      </c>
      <c r="B346" s="10">
        <f t="shared" ref="B346:K346" si="122">SUM(B341:B345)</f>
        <v>0</v>
      </c>
      <c r="C346" s="10">
        <f t="shared" si="122"/>
        <v>0</v>
      </c>
      <c r="D346" s="10">
        <f t="shared" si="122"/>
        <v>0</v>
      </c>
      <c r="E346" s="10">
        <f t="shared" si="122"/>
        <v>0</v>
      </c>
      <c r="F346" s="10">
        <f t="shared" si="122"/>
        <v>0</v>
      </c>
      <c r="G346" s="10">
        <f t="shared" si="122"/>
        <v>0</v>
      </c>
      <c r="H346" s="10">
        <f t="shared" si="122"/>
        <v>0</v>
      </c>
      <c r="I346" s="10">
        <f t="shared" si="122"/>
        <v>0</v>
      </c>
      <c r="J346" s="10">
        <f t="shared" si="122"/>
        <v>0</v>
      </c>
      <c r="K346" s="10">
        <f t="shared" si="122"/>
        <v>0</v>
      </c>
      <c r="L346" s="10">
        <f>SUM(L341:L345)</f>
        <v>0</v>
      </c>
      <c r="M346" s="10">
        <f t="shared" ref="M346" si="123">SUM(M341:M345)</f>
        <v>0</v>
      </c>
      <c r="N346" s="10">
        <f t="shared" ref="N346:O346" si="124">SUM(N341:N345)</f>
        <v>0</v>
      </c>
      <c r="O346" s="10">
        <f t="shared" si="124"/>
        <v>0</v>
      </c>
      <c r="P346"/>
    </row>
    <row r="347" spans="1:1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/>
    </row>
    <row r="348" spans="1:16" x14ac:dyDescent="0.2">
      <c r="A348" s="2">
        <v>15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/>
    </row>
    <row r="349" spans="1:16" x14ac:dyDescent="0.2">
      <c r="A349" s="2">
        <v>16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/>
    </row>
    <row r="350" spans="1:16" x14ac:dyDescent="0.2">
      <c r="A350" s="2">
        <v>17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/>
    </row>
    <row r="351" spans="1:16" x14ac:dyDescent="0.2">
      <c r="A351" s="2">
        <v>18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/>
    </row>
    <row r="352" spans="1:16" x14ac:dyDescent="0.2">
      <c r="A352" s="2">
        <v>19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/>
    </row>
    <row r="353" spans="1:16" x14ac:dyDescent="0.2">
      <c r="A353" s="3" t="s">
        <v>8</v>
      </c>
      <c r="B353" s="10">
        <f t="shared" ref="B353:K353" si="125">SUM(B348:B352)</f>
        <v>0</v>
      </c>
      <c r="C353" s="10">
        <f t="shared" si="125"/>
        <v>0</v>
      </c>
      <c r="D353" s="10">
        <f t="shared" si="125"/>
        <v>0</v>
      </c>
      <c r="E353" s="10">
        <f t="shared" si="125"/>
        <v>0</v>
      </c>
      <c r="F353" s="10">
        <f t="shared" si="125"/>
        <v>0</v>
      </c>
      <c r="G353" s="10">
        <f t="shared" si="125"/>
        <v>0</v>
      </c>
      <c r="H353" s="10">
        <f t="shared" si="125"/>
        <v>0</v>
      </c>
      <c r="I353" s="10">
        <f t="shared" si="125"/>
        <v>0</v>
      </c>
      <c r="J353" s="10">
        <f t="shared" si="125"/>
        <v>0</v>
      </c>
      <c r="K353" s="10">
        <f t="shared" si="125"/>
        <v>0</v>
      </c>
      <c r="L353" s="10">
        <f>SUM(L348:L352)</f>
        <v>0</v>
      </c>
      <c r="M353" s="10">
        <f t="shared" ref="M353" si="126">SUM(M348:M352)</f>
        <v>0</v>
      </c>
      <c r="N353" s="10">
        <f>SUM(N348:N352)</f>
        <v>0</v>
      </c>
      <c r="O353" s="10">
        <f>SUM(O348:O352)</f>
        <v>0</v>
      </c>
      <c r="P353"/>
    </row>
    <row r="354" spans="1:1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/>
    </row>
    <row r="355" spans="1:16" x14ac:dyDescent="0.2">
      <c r="A355" s="2">
        <v>22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/>
    </row>
    <row r="356" spans="1:16" x14ac:dyDescent="0.2">
      <c r="A356" s="2">
        <v>23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/>
    </row>
    <row r="357" spans="1:16" x14ac:dyDescent="0.2">
      <c r="A357" s="2">
        <v>24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/>
    </row>
    <row r="358" spans="1:16" x14ac:dyDescent="0.2">
      <c r="A358" s="2">
        <v>25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/>
    </row>
    <row r="359" spans="1:16" x14ac:dyDescent="0.2">
      <c r="A359" s="2">
        <v>26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/>
    </row>
    <row r="360" spans="1:16" x14ac:dyDescent="0.2">
      <c r="A360" s="3" t="s">
        <v>8</v>
      </c>
      <c r="B360" s="10">
        <f t="shared" ref="B360:K360" si="127">SUM(B355:B359)</f>
        <v>0</v>
      </c>
      <c r="C360" s="10">
        <f t="shared" si="127"/>
        <v>0</v>
      </c>
      <c r="D360" s="10">
        <f t="shared" si="127"/>
        <v>0</v>
      </c>
      <c r="E360" s="10">
        <f t="shared" si="127"/>
        <v>0</v>
      </c>
      <c r="F360" s="10">
        <f t="shared" si="127"/>
        <v>0</v>
      </c>
      <c r="G360" s="10">
        <f t="shared" si="127"/>
        <v>0</v>
      </c>
      <c r="H360" s="10">
        <f t="shared" si="127"/>
        <v>0</v>
      </c>
      <c r="I360" s="10">
        <f t="shared" si="127"/>
        <v>0</v>
      </c>
      <c r="J360" s="10">
        <f t="shared" si="127"/>
        <v>0</v>
      </c>
      <c r="K360" s="10">
        <f t="shared" si="127"/>
        <v>0</v>
      </c>
      <c r="L360" s="10">
        <f>SUM(L355:L359)</f>
        <v>0</v>
      </c>
      <c r="M360" s="10">
        <f t="shared" ref="M360" si="128">SUM(M355:M359)</f>
        <v>0</v>
      </c>
      <c r="N360" s="10">
        <f>SUM(N355:N358)</f>
        <v>0</v>
      </c>
      <c r="O360" s="10">
        <f>SUM(O355:O358)</f>
        <v>0</v>
      </c>
      <c r="P360"/>
    </row>
    <row r="361" spans="1:1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5"/>
      <c r="O361" s="5"/>
      <c r="P361"/>
    </row>
    <row r="362" spans="1:16" x14ac:dyDescent="0.2">
      <c r="A362" s="2">
        <v>29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/>
    </row>
    <row r="363" spans="1:16" x14ac:dyDescent="0.2">
      <c r="A363" s="2">
        <v>30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/>
    </row>
    <row r="364" spans="1:16" x14ac:dyDescent="0.2">
      <c r="A364" s="2">
        <v>31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/>
    </row>
    <row r="365" spans="1:16" x14ac:dyDescent="0.2">
      <c r="A365" s="2"/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/>
    </row>
    <row r="366" spans="1:16" x14ac:dyDescent="0.2">
      <c r="A366" s="2"/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/>
    </row>
    <row r="367" spans="1:16" x14ac:dyDescent="0.2">
      <c r="A367" s="3" t="s">
        <v>8</v>
      </c>
      <c r="B367" s="10">
        <f t="shared" ref="B367:K367" si="129">SUM(B362:B366)</f>
        <v>0</v>
      </c>
      <c r="C367" s="10">
        <f t="shared" si="129"/>
        <v>0</v>
      </c>
      <c r="D367" s="10">
        <f t="shared" si="129"/>
        <v>0</v>
      </c>
      <c r="E367" s="10">
        <f t="shared" si="129"/>
        <v>0</v>
      </c>
      <c r="F367" s="10">
        <f t="shared" si="129"/>
        <v>0</v>
      </c>
      <c r="G367" s="10">
        <f t="shared" si="129"/>
        <v>0</v>
      </c>
      <c r="H367" s="10">
        <f t="shared" si="129"/>
        <v>0</v>
      </c>
      <c r="I367" s="10">
        <f t="shared" si="129"/>
        <v>0</v>
      </c>
      <c r="J367" s="10">
        <f t="shared" si="129"/>
        <v>0</v>
      </c>
      <c r="K367" s="10">
        <f t="shared" si="129"/>
        <v>0</v>
      </c>
      <c r="L367" s="10">
        <f>SUM(L362:L366)</f>
        <v>0</v>
      </c>
      <c r="M367" s="10">
        <f t="shared" ref="M367" si="130">SUM(M362:M366)</f>
        <v>0</v>
      </c>
      <c r="N367" s="10">
        <f>SUM(N361:N365)</f>
        <v>0</v>
      </c>
      <c r="O367" s="10">
        <f>SUM(O361:O364)</f>
        <v>0</v>
      </c>
      <c r="P367"/>
    </row>
    <row r="368" spans="1:1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  <c r="O368" s="6"/>
      <c r="P368"/>
    </row>
    <row r="369" spans="1:16" x14ac:dyDescent="0.2">
      <c r="A369" s="2" t="s">
        <v>9</v>
      </c>
      <c r="B369" s="29">
        <v>0</v>
      </c>
      <c r="C369" s="29">
        <v>0</v>
      </c>
      <c r="D369" s="29">
        <v>0</v>
      </c>
      <c r="E369" s="29">
        <v>0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29">
        <v>0</v>
      </c>
      <c r="L369" s="29">
        <v>0</v>
      </c>
      <c r="M369" s="29">
        <v>0</v>
      </c>
      <c r="N369" s="29">
        <v>0</v>
      </c>
      <c r="O369" s="29">
        <v>0</v>
      </c>
      <c r="P369"/>
    </row>
    <row r="370" spans="1:16" x14ac:dyDescent="0.2">
      <c r="A370" s="2" t="s">
        <v>10</v>
      </c>
      <c r="B370" s="29">
        <v>0</v>
      </c>
      <c r="C370" s="29">
        <v>0</v>
      </c>
      <c r="D370" s="29">
        <v>0</v>
      </c>
      <c r="E370" s="29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  <c r="L370" s="29">
        <v>0</v>
      </c>
      <c r="M370" s="29">
        <v>0</v>
      </c>
      <c r="N370" s="29">
        <v>0</v>
      </c>
      <c r="O370" s="29">
        <v>0</v>
      </c>
      <c r="P370"/>
    </row>
    <row r="371" spans="1:16" x14ac:dyDescent="0.2">
      <c r="A371" s="2"/>
      <c r="B371" s="2"/>
      <c r="C371" s="2"/>
      <c r="D371" s="2"/>
      <c r="E371" s="2"/>
      <c r="F371" s="2"/>
      <c r="G371" s="2"/>
      <c r="H371" s="2"/>
      <c r="I371" s="2"/>
      <c r="K371" s="25"/>
      <c r="P371"/>
    </row>
    <row r="372" spans="1:16" x14ac:dyDescent="0.2">
      <c r="A372" s="3" t="s">
        <v>6</v>
      </c>
      <c r="B372" s="10">
        <f>+B339+B346+B353+B360+B367+B369+B370</f>
        <v>0</v>
      </c>
      <c r="C372" s="10">
        <f t="shared" ref="C372:I372" si="131">+C339+C346+C353+C360+C367+C369+C370</f>
        <v>0</v>
      </c>
      <c r="D372" s="10">
        <f t="shared" si="131"/>
        <v>0</v>
      </c>
      <c r="E372" s="10">
        <f t="shared" si="131"/>
        <v>0</v>
      </c>
      <c r="F372" s="10">
        <f t="shared" si="131"/>
        <v>0</v>
      </c>
      <c r="G372" s="10">
        <f t="shared" si="131"/>
        <v>0</v>
      </c>
      <c r="H372" s="10">
        <f t="shared" si="131"/>
        <v>0</v>
      </c>
      <c r="I372" s="10">
        <f t="shared" si="131"/>
        <v>0</v>
      </c>
      <c r="J372" s="10">
        <f t="shared" ref="J372:O372" si="132">+J367+J360+J353+J346+J339+J369+J370</f>
        <v>0</v>
      </c>
      <c r="K372" s="10">
        <f t="shared" si="132"/>
        <v>0</v>
      </c>
      <c r="L372" s="10">
        <f t="shared" si="132"/>
        <v>0</v>
      </c>
      <c r="M372" s="10">
        <f t="shared" si="132"/>
        <v>0</v>
      </c>
      <c r="N372" s="10">
        <f t="shared" si="132"/>
        <v>0</v>
      </c>
      <c r="O372" s="10">
        <f t="shared" si="132"/>
        <v>0</v>
      </c>
      <c r="P372"/>
    </row>
    <row r="373" spans="1:16" x14ac:dyDescent="0.2">
      <c r="B373" s="1"/>
      <c r="C373" s="1"/>
      <c r="D373" s="1"/>
      <c r="E373" s="1"/>
      <c r="F373" s="1"/>
      <c r="G373" s="1"/>
      <c r="H373" s="1"/>
      <c r="I373" s="2"/>
      <c r="P373"/>
    </row>
    <row r="374" spans="1:16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P374"/>
    </row>
    <row r="375" spans="1:16" x14ac:dyDescent="0.2">
      <c r="A375" s="11" t="s">
        <v>27</v>
      </c>
      <c r="B375" s="9"/>
      <c r="C375" s="9"/>
      <c r="D375" s="2"/>
      <c r="E375" s="2"/>
      <c r="F375" s="11" t="s">
        <v>0</v>
      </c>
      <c r="G375" s="2"/>
      <c r="H375" s="2"/>
      <c r="I375" s="2"/>
      <c r="P375"/>
    </row>
    <row r="376" spans="1:16" x14ac:dyDescent="0.2">
      <c r="A376" s="9"/>
      <c r="B376" s="9"/>
      <c r="C376" s="9"/>
      <c r="D376" s="2"/>
      <c r="E376" s="2"/>
      <c r="F376" s="11" t="s">
        <v>1</v>
      </c>
      <c r="G376" s="2"/>
      <c r="H376" s="2"/>
      <c r="I376" s="2"/>
      <c r="P376"/>
    </row>
    <row r="377" spans="1:16" x14ac:dyDescent="0.2">
      <c r="A377" s="2"/>
      <c r="B377" s="2"/>
      <c r="C377" s="2"/>
      <c r="D377" s="2"/>
      <c r="E377" s="2"/>
      <c r="F377" s="2"/>
      <c r="G377" s="2"/>
      <c r="H377" s="2"/>
      <c r="I377" s="2"/>
      <c r="P377"/>
    </row>
    <row r="378" spans="1:16" x14ac:dyDescent="0.2">
      <c r="A378" s="4"/>
      <c r="B378" s="11" t="s">
        <v>2</v>
      </c>
      <c r="C378" s="11" t="s">
        <v>38</v>
      </c>
      <c r="D378" s="11" t="s">
        <v>44</v>
      </c>
      <c r="E378" s="11" t="s">
        <v>41</v>
      </c>
      <c r="F378" s="11" t="s">
        <v>4</v>
      </c>
      <c r="G378" s="11" t="s">
        <v>36</v>
      </c>
      <c r="H378" s="11" t="s">
        <v>3</v>
      </c>
      <c r="I378" s="11" t="s">
        <v>40</v>
      </c>
      <c r="J378" s="11" t="s">
        <v>45</v>
      </c>
      <c r="K378" s="11" t="s">
        <v>5</v>
      </c>
      <c r="L378" s="11" t="s">
        <v>6</v>
      </c>
      <c r="M378" s="11" t="s">
        <v>46</v>
      </c>
      <c r="N378" s="11" t="s">
        <v>48</v>
      </c>
      <c r="O378" s="11" t="s">
        <v>49</v>
      </c>
      <c r="P378"/>
    </row>
    <row r="379" spans="1:16" x14ac:dyDescent="0.2">
      <c r="A379" s="2"/>
      <c r="B379" s="2"/>
      <c r="C379" s="2"/>
      <c r="D379" s="2"/>
      <c r="F379" s="2"/>
      <c r="G379" s="2"/>
      <c r="H379" s="2"/>
      <c r="J379" s="2"/>
      <c r="K379" s="2"/>
      <c r="L379" s="2"/>
      <c r="M379" s="2"/>
      <c r="N379" s="2"/>
      <c r="O379" s="2"/>
      <c r="P379"/>
    </row>
    <row r="380" spans="1:16" x14ac:dyDescent="0.2">
      <c r="A380" s="2"/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/>
    </row>
    <row r="381" spans="1:16" x14ac:dyDescent="0.2">
      <c r="A381" s="2"/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/>
    </row>
    <row r="382" spans="1:16" x14ac:dyDescent="0.2">
      <c r="A382" s="2"/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/>
    </row>
    <row r="383" spans="1:16" x14ac:dyDescent="0.2">
      <c r="A383" s="7">
        <v>1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/>
    </row>
    <row r="384" spans="1:16" x14ac:dyDescent="0.2">
      <c r="A384" s="7">
        <v>2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/>
    </row>
    <row r="385" spans="1:16" x14ac:dyDescent="0.2">
      <c r="A385" s="3" t="s">
        <v>8</v>
      </c>
      <c r="B385" s="10">
        <f t="shared" ref="B385:K385" si="133">SUM(B380:B384)</f>
        <v>0</v>
      </c>
      <c r="C385" s="10">
        <f t="shared" si="133"/>
        <v>0</v>
      </c>
      <c r="D385" s="10">
        <f t="shared" si="133"/>
        <v>0</v>
      </c>
      <c r="E385" s="10">
        <f t="shared" si="133"/>
        <v>0</v>
      </c>
      <c r="F385" s="10">
        <f t="shared" si="133"/>
        <v>0</v>
      </c>
      <c r="G385" s="10">
        <f t="shared" si="133"/>
        <v>0</v>
      </c>
      <c r="H385" s="10">
        <f t="shared" si="133"/>
        <v>0</v>
      </c>
      <c r="I385" s="10">
        <f t="shared" si="133"/>
        <v>0</v>
      </c>
      <c r="J385" s="10">
        <f t="shared" si="133"/>
        <v>0</v>
      </c>
      <c r="K385" s="10">
        <f t="shared" si="133"/>
        <v>0</v>
      </c>
      <c r="L385" s="10">
        <f>SUM(L380:L384)</f>
        <v>0</v>
      </c>
      <c r="M385" s="10">
        <f t="shared" ref="M385" si="134">SUM(M380:M384)</f>
        <v>0</v>
      </c>
      <c r="N385" s="10">
        <f>SUM(N381:N384)</f>
        <v>0</v>
      </c>
      <c r="O385" s="10">
        <f>SUM(O381:O384)</f>
        <v>0</v>
      </c>
      <c r="P385"/>
    </row>
    <row r="386" spans="1:1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/>
    </row>
    <row r="387" spans="1:16" x14ac:dyDescent="0.2">
      <c r="A387" s="7">
        <v>5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/>
    </row>
    <row r="388" spans="1:16" x14ac:dyDescent="0.2">
      <c r="A388" s="7">
        <v>6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/>
    </row>
    <row r="389" spans="1:16" x14ac:dyDescent="0.2">
      <c r="A389" s="7">
        <v>7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/>
    </row>
    <row r="390" spans="1:16" x14ac:dyDescent="0.2">
      <c r="A390" s="7">
        <v>8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/>
    </row>
    <row r="391" spans="1:16" x14ac:dyDescent="0.2">
      <c r="A391" s="8">
        <v>9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/>
    </row>
    <row r="392" spans="1:16" x14ac:dyDescent="0.2">
      <c r="A392" s="3" t="s">
        <v>8</v>
      </c>
      <c r="B392" s="10">
        <f t="shared" ref="B392:K392" si="135">SUM(B387:B391)</f>
        <v>0</v>
      </c>
      <c r="C392" s="10">
        <f t="shared" si="135"/>
        <v>0</v>
      </c>
      <c r="D392" s="10">
        <f t="shared" si="135"/>
        <v>0</v>
      </c>
      <c r="E392" s="10">
        <f t="shared" si="135"/>
        <v>0</v>
      </c>
      <c r="F392" s="10">
        <f t="shared" si="135"/>
        <v>0</v>
      </c>
      <c r="G392" s="10">
        <f t="shared" si="135"/>
        <v>0</v>
      </c>
      <c r="H392" s="10">
        <f t="shared" si="135"/>
        <v>0</v>
      </c>
      <c r="I392" s="10">
        <f t="shared" si="135"/>
        <v>0</v>
      </c>
      <c r="J392" s="10">
        <f t="shared" si="135"/>
        <v>0</v>
      </c>
      <c r="K392" s="10">
        <f t="shared" si="135"/>
        <v>0</v>
      </c>
      <c r="L392" s="10">
        <f>SUM(L387:L391)</f>
        <v>0</v>
      </c>
      <c r="M392" s="10">
        <f t="shared" ref="M392" si="136">SUM(M387:M391)</f>
        <v>0</v>
      </c>
      <c r="N392" s="10">
        <f t="shared" ref="N392:O392" si="137">SUM(N387:N391)</f>
        <v>0</v>
      </c>
      <c r="O392" s="10">
        <f t="shared" si="137"/>
        <v>0</v>
      </c>
      <c r="P392"/>
    </row>
    <row r="393" spans="1:1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/>
    </row>
    <row r="394" spans="1:16" x14ac:dyDescent="0.2">
      <c r="A394" s="2">
        <v>12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/>
    </row>
    <row r="395" spans="1:16" x14ac:dyDescent="0.2">
      <c r="A395" s="2">
        <v>13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/>
    </row>
    <row r="396" spans="1:16" x14ac:dyDescent="0.2">
      <c r="A396" s="2">
        <v>14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/>
    </row>
    <row r="397" spans="1:16" x14ac:dyDescent="0.2">
      <c r="A397" s="2">
        <v>15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/>
    </row>
    <row r="398" spans="1:16" x14ac:dyDescent="0.2">
      <c r="A398" s="2">
        <v>16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/>
    </row>
    <row r="399" spans="1:16" x14ac:dyDescent="0.2">
      <c r="A399" s="3" t="s">
        <v>8</v>
      </c>
      <c r="B399" s="10">
        <f t="shared" ref="B399:K399" si="138">SUM(B394:B398)</f>
        <v>0</v>
      </c>
      <c r="C399" s="10">
        <f t="shared" si="138"/>
        <v>0</v>
      </c>
      <c r="D399" s="10">
        <f t="shared" si="138"/>
        <v>0</v>
      </c>
      <c r="E399" s="10">
        <f t="shared" si="138"/>
        <v>0</v>
      </c>
      <c r="F399" s="10">
        <f t="shared" si="138"/>
        <v>0</v>
      </c>
      <c r="G399" s="10">
        <f t="shared" si="138"/>
        <v>0</v>
      </c>
      <c r="H399" s="10">
        <f t="shared" si="138"/>
        <v>0</v>
      </c>
      <c r="I399" s="10">
        <f t="shared" si="138"/>
        <v>0</v>
      </c>
      <c r="J399" s="10">
        <f t="shared" si="138"/>
        <v>0</v>
      </c>
      <c r="K399" s="10">
        <f t="shared" si="138"/>
        <v>0</v>
      </c>
      <c r="L399" s="10">
        <f>SUM(L394:L398)</f>
        <v>0</v>
      </c>
      <c r="M399" s="10">
        <f t="shared" ref="M399" si="139">SUM(M394:M398)</f>
        <v>0</v>
      </c>
      <c r="N399" s="10">
        <f>SUM(N394:N398)</f>
        <v>0</v>
      </c>
      <c r="O399" s="10">
        <f>SUM(O394:O398)</f>
        <v>0</v>
      </c>
      <c r="P399"/>
    </row>
    <row r="400" spans="1:1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/>
    </row>
    <row r="401" spans="1:16" x14ac:dyDescent="0.2">
      <c r="A401" s="2">
        <v>19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/>
    </row>
    <row r="402" spans="1:16" x14ac:dyDescent="0.2">
      <c r="A402" s="2">
        <v>20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/>
    </row>
    <row r="403" spans="1:16" x14ac:dyDescent="0.2">
      <c r="A403" s="2">
        <v>21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/>
    </row>
    <row r="404" spans="1:16" x14ac:dyDescent="0.2">
      <c r="A404" s="2">
        <v>22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/>
    </row>
    <row r="405" spans="1:16" x14ac:dyDescent="0.2">
      <c r="A405" s="2">
        <v>23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/>
    </row>
    <row r="406" spans="1:16" x14ac:dyDescent="0.2">
      <c r="A406" s="3" t="s">
        <v>8</v>
      </c>
      <c r="B406" s="10">
        <f t="shared" ref="B406:K406" si="140">SUM(B401:B405)</f>
        <v>0</v>
      </c>
      <c r="C406" s="10">
        <f t="shared" si="140"/>
        <v>0</v>
      </c>
      <c r="D406" s="10">
        <f t="shared" si="140"/>
        <v>0</v>
      </c>
      <c r="E406" s="10">
        <f t="shared" si="140"/>
        <v>0</v>
      </c>
      <c r="F406" s="10">
        <f t="shared" si="140"/>
        <v>0</v>
      </c>
      <c r="G406" s="10">
        <f t="shared" si="140"/>
        <v>0</v>
      </c>
      <c r="H406" s="10">
        <f t="shared" si="140"/>
        <v>0</v>
      </c>
      <c r="I406" s="10">
        <f t="shared" si="140"/>
        <v>0</v>
      </c>
      <c r="J406" s="10">
        <f t="shared" si="140"/>
        <v>0</v>
      </c>
      <c r="K406" s="10">
        <f t="shared" si="140"/>
        <v>0</v>
      </c>
      <c r="L406" s="10">
        <f>SUM(L401:L405)</f>
        <v>0</v>
      </c>
      <c r="M406" s="10">
        <f t="shared" ref="M406" si="141">SUM(M401:M405)</f>
        <v>0</v>
      </c>
      <c r="N406" s="10">
        <f>SUM(N401:N404)</f>
        <v>0</v>
      </c>
      <c r="O406" s="10">
        <f>SUM(O401:O404)</f>
        <v>0</v>
      </c>
      <c r="P406"/>
    </row>
    <row r="407" spans="1:1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5"/>
      <c r="O407" s="5"/>
      <c r="P407"/>
    </row>
    <row r="408" spans="1:16" x14ac:dyDescent="0.2">
      <c r="A408" s="2">
        <v>26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/>
    </row>
    <row r="409" spans="1:16" x14ac:dyDescent="0.2">
      <c r="A409" s="2">
        <v>27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/>
    </row>
    <row r="410" spans="1:16" x14ac:dyDescent="0.2">
      <c r="A410" s="2">
        <v>28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/>
    </row>
    <row r="411" spans="1:16" x14ac:dyDescent="0.2">
      <c r="A411" s="2">
        <v>29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/>
    </row>
    <row r="412" spans="1:16" x14ac:dyDescent="0.2">
      <c r="A412" s="2">
        <v>30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/>
    </row>
    <row r="413" spans="1:16" x14ac:dyDescent="0.2">
      <c r="A413" s="3" t="s">
        <v>8</v>
      </c>
      <c r="B413" s="10">
        <f t="shared" ref="B413:K413" si="142">SUM(B408:B412)</f>
        <v>0</v>
      </c>
      <c r="C413" s="10">
        <f t="shared" si="142"/>
        <v>0</v>
      </c>
      <c r="D413" s="10">
        <f t="shared" si="142"/>
        <v>0</v>
      </c>
      <c r="E413" s="10">
        <f t="shared" si="142"/>
        <v>0</v>
      </c>
      <c r="F413" s="10">
        <f t="shared" si="142"/>
        <v>0</v>
      </c>
      <c r="G413" s="10">
        <f t="shared" si="142"/>
        <v>0</v>
      </c>
      <c r="H413" s="10">
        <f t="shared" si="142"/>
        <v>0</v>
      </c>
      <c r="I413" s="10">
        <f t="shared" si="142"/>
        <v>0</v>
      </c>
      <c r="J413" s="10">
        <f t="shared" si="142"/>
        <v>0</v>
      </c>
      <c r="K413" s="10">
        <f t="shared" si="142"/>
        <v>0</v>
      </c>
      <c r="L413" s="10">
        <f>SUM(L408:L412)</f>
        <v>0</v>
      </c>
      <c r="M413" s="10">
        <f t="shared" ref="M413" si="143">SUM(M408:M412)</f>
        <v>0</v>
      </c>
      <c r="N413" s="10">
        <f>SUM(N407:N411)</f>
        <v>0</v>
      </c>
      <c r="O413" s="10">
        <f>SUM(O407:O410)</f>
        <v>0</v>
      </c>
      <c r="P413"/>
    </row>
    <row r="414" spans="1:1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  <c r="O414" s="6"/>
      <c r="P414"/>
    </row>
    <row r="415" spans="1:16" x14ac:dyDescent="0.2">
      <c r="A415" s="2" t="s">
        <v>9</v>
      </c>
      <c r="B415" s="29">
        <v>0</v>
      </c>
      <c r="C415" s="29">
        <v>0</v>
      </c>
      <c r="D415" s="29">
        <v>0</v>
      </c>
      <c r="E415" s="29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</v>
      </c>
      <c r="M415" s="29">
        <v>0</v>
      </c>
      <c r="N415" s="29">
        <v>0</v>
      </c>
      <c r="O415" s="29">
        <v>0</v>
      </c>
      <c r="P415"/>
    </row>
    <row r="416" spans="1:16" x14ac:dyDescent="0.2">
      <c r="A416" s="2" t="s">
        <v>10</v>
      </c>
      <c r="B416" s="29">
        <v>0</v>
      </c>
      <c r="C416" s="29">
        <v>0</v>
      </c>
      <c r="D416" s="29">
        <v>0</v>
      </c>
      <c r="E416" s="29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</v>
      </c>
      <c r="M416" s="29">
        <v>0</v>
      </c>
      <c r="N416" s="29">
        <v>0</v>
      </c>
      <c r="O416" s="29">
        <v>0</v>
      </c>
      <c r="P416"/>
    </row>
    <row r="417" spans="1:16" x14ac:dyDescent="0.2">
      <c r="A417" s="2"/>
      <c r="B417" s="2"/>
      <c r="C417" s="2"/>
      <c r="D417" s="2"/>
      <c r="E417" s="2"/>
      <c r="F417" s="2"/>
      <c r="G417" s="2"/>
      <c r="H417" s="2"/>
      <c r="I417" s="2"/>
      <c r="K417" s="25"/>
      <c r="P417"/>
    </row>
    <row r="418" spans="1:16" x14ac:dyDescent="0.2">
      <c r="A418" s="3" t="s">
        <v>6</v>
      </c>
      <c r="B418" s="10">
        <f>+B385+B392+B399+B406+B413+B415+B416</f>
        <v>0</v>
      </c>
      <c r="C418" s="10">
        <f t="shared" ref="C418:I418" si="144">+C385+C392+C399+C406+C413+C415+C416</f>
        <v>0</v>
      </c>
      <c r="D418" s="10">
        <f t="shared" si="144"/>
        <v>0</v>
      </c>
      <c r="E418" s="10">
        <f t="shared" si="144"/>
        <v>0</v>
      </c>
      <c r="F418" s="10">
        <f t="shared" si="144"/>
        <v>0</v>
      </c>
      <c r="G418" s="10">
        <f t="shared" si="144"/>
        <v>0</v>
      </c>
      <c r="H418" s="10">
        <f t="shared" si="144"/>
        <v>0</v>
      </c>
      <c r="I418" s="10">
        <f t="shared" si="144"/>
        <v>0</v>
      </c>
      <c r="J418" s="10">
        <f t="shared" ref="J418:O418" si="145">+J413+J406+J399+J392+J385+J415+J416</f>
        <v>0</v>
      </c>
      <c r="K418" s="10">
        <f t="shared" si="145"/>
        <v>0</v>
      </c>
      <c r="L418" s="10">
        <f t="shared" si="145"/>
        <v>0</v>
      </c>
      <c r="M418" s="10">
        <f t="shared" si="145"/>
        <v>0</v>
      </c>
      <c r="N418" s="10">
        <f t="shared" si="145"/>
        <v>0</v>
      </c>
      <c r="O418" s="10">
        <f t="shared" si="145"/>
        <v>0</v>
      </c>
      <c r="P418"/>
    </row>
    <row r="419" spans="1:16" x14ac:dyDescent="0.2">
      <c r="B419" s="1"/>
      <c r="C419" s="1"/>
      <c r="D419" s="1"/>
      <c r="E419" s="1"/>
      <c r="F419" s="1"/>
      <c r="G419" s="1"/>
      <c r="H419" s="1"/>
      <c r="I419" s="2"/>
      <c r="P419"/>
    </row>
    <row r="420" spans="1:16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P420"/>
    </row>
    <row r="421" spans="1:16" x14ac:dyDescent="0.2">
      <c r="A421" s="11" t="s">
        <v>28</v>
      </c>
      <c r="B421" s="9"/>
      <c r="C421" s="9"/>
      <c r="D421" s="2"/>
      <c r="E421" s="2"/>
      <c r="F421" s="11" t="s">
        <v>0</v>
      </c>
      <c r="G421" s="2"/>
      <c r="H421" s="2"/>
      <c r="I421" s="2"/>
      <c r="P421"/>
    </row>
    <row r="422" spans="1:16" x14ac:dyDescent="0.2">
      <c r="A422" s="9"/>
      <c r="B422" s="9"/>
      <c r="C422" s="9"/>
      <c r="D422" s="2"/>
      <c r="E422" s="2"/>
      <c r="F422" s="11" t="s">
        <v>1</v>
      </c>
      <c r="G422" s="2"/>
      <c r="H422" s="2"/>
      <c r="I422" s="2"/>
      <c r="P422"/>
    </row>
    <row r="423" spans="1:16" x14ac:dyDescent="0.2">
      <c r="A423" s="2"/>
      <c r="B423" s="2"/>
      <c r="C423" s="2"/>
      <c r="D423" s="2"/>
      <c r="E423" s="2"/>
      <c r="F423" s="2"/>
      <c r="G423" s="2"/>
      <c r="H423" s="2"/>
      <c r="I423" s="2"/>
      <c r="P423"/>
    </row>
    <row r="424" spans="1:16" x14ac:dyDescent="0.2">
      <c r="A424" s="4"/>
      <c r="B424" s="11" t="s">
        <v>2</v>
      </c>
      <c r="C424" s="11" t="s">
        <v>38</v>
      </c>
      <c r="D424" s="11" t="s">
        <v>44</v>
      </c>
      <c r="E424" s="11" t="s">
        <v>41</v>
      </c>
      <c r="F424" s="11" t="s">
        <v>4</v>
      </c>
      <c r="G424" s="11" t="s">
        <v>36</v>
      </c>
      <c r="H424" s="11" t="s">
        <v>3</v>
      </c>
      <c r="I424" s="11" t="s">
        <v>40</v>
      </c>
      <c r="J424" s="11" t="s">
        <v>45</v>
      </c>
      <c r="K424" s="11" t="s">
        <v>5</v>
      </c>
      <c r="L424" s="11" t="s">
        <v>6</v>
      </c>
      <c r="M424" s="11" t="s">
        <v>46</v>
      </c>
      <c r="N424" s="11" t="s">
        <v>48</v>
      </c>
      <c r="O424" s="11" t="s">
        <v>49</v>
      </c>
      <c r="P424"/>
    </row>
    <row r="425" spans="1:16" x14ac:dyDescent="0.2">
      <c r="A425" s="2"/>
      <c r="B425" s="2"/>
      <c r="C425" s="2"/>
      <c r="D425" s="2"/>
      <c r="F425" s="2"/>
      <c r="G425" s="2"/>
      <c r="H425" s="2"/>
      <c r="J425" s="2"/>
      <c r="K425" s="2"/>
      <c r="L425" s="2"/>
      <c r="M425" s="2"/>
      <c r="N425" s="2"/>
      <c r="O425" s="2"/>
      <c r="P425"/>
    </row>
    <row r="426" spans="1:16" x14ac:dyDescent="0.2">
      <c r="A426" s="2">
        <v>3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/>
    </row>
    <row r="427" spans="1:16" x14ac:dyDescent="0.2">
      <c r="A427" s="2">
        <v>4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/>
    </row>
    <row r="428" spans="1:16" x14ac:dyDescent="0.2">
      <c r="A428" s="2">
        <v>5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/>
    </row>
    <row r="429" spans="1:16" x14ac:dyDescent="0.2">
      <c r="A429" s="7">
        <v>6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/>
    </row>
    <row r="430" spans="1:16" x14ac:dyDescent="0.2">
      <c r="A430" s="7">
        <v>7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/>
    </row>
    <row r="431" spans="1:16" x14ac:dyDescent="0.2">
      <c r="A431" s="3" t="s">
        <v>8</v>
      </c>
      <c r="B431" s="10">
        <f t="shared" ref="B431:K431" si="146">SUM(B426:B430)</f>
        <v>0</v>
      </c>
      <c r="C431" s="10">
        <f t="shared" si="146"/>
        <v>0</v>
      </c>
      <c r="D431" s="10">
        <f t="shared" si="146"/>
        <v>0</v>
      </c>
      <c r="E431" s="10">
        <f t="shared" si="146"/>
        <v>0</v>
      </c>
      <c r="F431" s="10">
        <f t="shared" si="146"/>
        <v>0</v>
      </c>
      <c r="G431" s="10">
        <f t="shared" si="146"/>
        <v>0</v>
      </c>
      <c r="H431" s="10">
        <f t="shared" si="146"/>
        <v>0</v>
      </c>
      <c r="I431" s="10">
        <f t="shared" si="146"/>
        <v>0</v>
      </c>
      <c r="J431" s="10">
        <f t="shared" si="146"/>
        <v>0</v>
      </c>
      <c r="K431" s="10">
        <f t="shared" si="146"/>
        <v>0</v>
      </c>
      <c r="L431" s="10">
        <f>SUM(L426:L430)</f>
        <v>0</v>
      </c>
      <c r="M431" s="10">
        <f t="shared" ref="M431" si="147">SUM(M426:M430)</f>
        <v>0</v>
      </c>
      <c r="N431" s="10">
        <f>SUM(N427:N430)</f>
        <v>0</v>
      </c>
      <c r="O431" s="10">
        <f>SUM(O427:O430)</f>
        <v>0</v>
      </c>
      <c r="P431"/>
    </row>
    <row r="432" spans="1:1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/>
    </row>
    <row r="433" spans="1:16" x14ac:dyDescent="0.2">
      <c r="A433" s="7">
        <v>10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/>
    </row>
    <row r="434" spans="1:16" x14ac:dyDescent="0.2">
      <c r="A434" s="7">
        <v>11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/>
    </row>
    <row r="435" spans="1:16" x14ac:dyDescent="0.2">
      <c r="A435" s="7">
        <v>12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/>
    </row>
    <row r="436" spans="1:16" x14ac:dyDescent="0.2">
      <c r="A436" s="7">
        <v>13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/>
    </row>
    <row r="437" spans="1:16" x14ac:dyDescent="0.2">
      <c r="A437" s="8">
        <v>14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/>
    </row>
    <row r="438" spans="1:16" x14ac:dyDescent="0.2">
      <c r="A438" s="3" t="s">
        <v>8</v>
      </c>
      <c r="B438" s="10">
        <f t="shared" ref="B438:K438" si="148">SUM(B433:B437)</f>
        <v>0</v>
      </c>
      <c r="C438" s="10">
        <f t="shared" si="148"/>
        <v>0</v>
      </c>
      <c r="D438" s="10">
        <f t="shared" si="148"/>
        <v>0</v>
      </c>
      <c r="E438" s="10">
        <f t="shared" si="148"/>
        <v>0</v>
      </c>
      <c r="F438" s="10">
        <f t="shared" si="148"/>
        <v>0</v>
      </c>
      <c r="G438" s="10">
        <f t="shared" si="148"/>
        <v>0</v>
      </c>
      <c r="H438" s="10">
        <f t="shared" si="148"/>
        <v>0</v>
      </c>
      <c r="I438" s="10">
        <f t="shared" si="148"/>
        <v>0</v>
      </c>
      <c r="J438" s="10">
        <f t="shared" si="148"/>
        <v>0</v>
      </c>
      <c r="K438" s="10">
        <f t="shared" si="148"/>
        <v>0</v>
      </c>
      <c r="L438" s="10">
        <f>SUM(L433:L437)</f>
        <v>0</v>
      </c>
      <c r="M438" s="10">
        <f t="shared" ref="M438" si="149">SUM(M433:M437)</f>
        <v>0</v>
      </c>
      <c r="N438" s="10">
        <f t="shared" ref="N438:O438" si="150">SUM(N433:N437)</f>
        <v>0</v>
      </c>
      <c r="O438" s="10">
        <f t="shared" si="150"/>
        <v>0</v>
      </c>
      <c r="P438"/>
    </row>
    <row r="439" spans="1:1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/>
    </row>
    <row r="440" spans="1:16" x14ac:dyDescent="0.2">
      <c r="A440" s="2">
        <v>17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/>
    </row>
    <row r="441" spans="1:16" x14ac:dyDescent="0.2">
      <c r="A441" s="2">
        <v>18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/>
    </row>
    <row r="442" spans="1:16" x14ac:dyDescent="0.2">
      <c r="A442" s="2">
        <v>19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/>
    </row>
    <row r="443" spans="1:16" x14ac:dyDescent="0.2">
      <c r="A443" s="2">
        <v>20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/>
    </row>
    <row r="444" spans="1:16" x14ac:dyDescent="0.2">
      <c r="A444" s="2">
        <v>21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/>
    </row>
    <row r="445" spans="1:16" x14ac:dyDescent="0.2">
      <c r="A445" s="3" t="s">
        <v>8</v>
      </c>
      <c r="B445" s="10">
        <f t="shared" ref="B445:K445" si="151">SUM(B440:B444)</f>
        <v>0</v>
      </c>
      <c r="C445" s="10">
        <f t="shared" si="151"/>
        <v>0</v>
      </c>
      <c r="D445" s="10">
        <f t="shared" si="151"/>
        <v>0</v>
      </c>
      <c r="E445" s="10">
        <f t="shared" si="151"/>
        <v>0</v>
      </c>
      <c r="F445" s="10">
        <f t="shared" si="151"/>
        <v>0</v>
      </c>
      <c r="G445" s="10">
        <f t="shared" si="151"/>
        <v>0</v>
      </c>
      <c r="H445" s="10">
        <f t="shared" si="151"/>
        <v>0</v>
      </c>
      <c r="I445" s="10">
        <f t="shared" si="151"/>
        <v>0</v>
      </c>
      <c r="J445" s="10">
        <f t="shared" si="151"/>
        <v>0</v>
      </c>
      <c r="K445" s="10">
        <f t="shared" si="151"/>
        <v>0</v>
      </c>
      <c r="L445" s="10">
        <f>SUM(L440:L444)</f>
        <v>0</v>
      </c>
      <c r="M445" s="10">
        <f t="shared" ref="M445" si="152">SUM(M440:M444)</f>
        <v>0</v>
      </c>
      <c r="N445" s="10">
        <f>SUM(N440:N444)</f>
        <v>0</v>
      </c>
      <c r="O445" s="10">
        <f>SUM(O440:O444)</f>
        <v>0</v>
      </c>
      <c r="P445"/>
    </row>
    <row r="446" spans="1:1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/>
    </row>
    <row r="447" spans="1:16" x14ac:dyDescent="0.2">
      <c r="A447" s="2">
        <v>24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/>
    </row>
    <row r="448" spans="1:16" x14ac:dyDescent="0.2">
      <c r="A448" s="2">
        <v>25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/>
    </row>
    <row r="449" spans="1:16" x14ac:dyDescent="0.2">
      <c r="A449" s="2">
        <v>26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/>
    </row>
    <row r="450" spans="1:16" x14ac:dyDescent="0.2">
      <c r="A450" s="2">
        <v>27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/>
    </row>
    <row r="451" spans="1:16" x14ac:dyDescent="0.2">
      <c r="A451" s="2">
        <v>28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/>
    </row>
    <row r="452" spans="1:16" x14ac:dyDescent="0.2">
      <c r="A452" s="3" t="s">
        <v>8</v>
      </c>
      <c r="B452" s="10">
        <f t="shared" ref="B452:K452" si="153">SUM(B447:B451)</f>
        <v>0</v>
      </c>
      <c r="C452" s="10">
        <f t="shared" si="153"/>
        <v>0</v>
      </c>
      <c r="D452" s="10">
        <f t="shared" si="153"/>
        <v>0</v>
      </c>
      <c r="E452" s="10">
        <f t="shared" si="153"/>
        <v>0</v>
      </c>
      <c r="F452" s="10">
        <f t="shared" si="153"/>
        <v>0</v>
      </c>
      <c r="G452" s="10">
        <f t="shared" si="153"/>
        <v>0</v>
      </c>
      <c r="H452" s="10">
        <f t="shared" si="153"/>
        <v>0</v>
      </c>
      <c r="I452" s="10">
        <f t="shared" si="153"/>
        <v>0</v>
      </c>
      <c r="J452" s="10">
        <f t="shared" si="153"/>
        <v>0</v>
      </c>
      <c r="K452" s="10">
        <f t="shared" si="153"/>
        <v>0</v>
      </c>
      <c r="L452" s="10">
        <f>SUM(L447:L451)</f>
        <v>0</v>
      </c>
      <c r="M452" s="10">
        <f t="shared" ref="M452" si="154">SUM(M447:M451)</f>
        <v>0</v>
      </c>
      <c r="N452" s="10">
        <f>SUM(N447:N450)</f>
        <v>0</v>
      </c>
      <c r="O452" s="10">
        <f>SUM(O447:O450)</f>
        <v>0</v>
      </c>
      <c r="P452"/>
    </row>
    <row r="453" spans="1:1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5"/>
      <c r="O453" s="5"/>
      <c r="P453"/>
    </row>
    <row r="454" spans="1:16" x14ac:dyDescent="0.2">
      <c r="A454" s="2">
        <v>31</v>
      </c>
      <c r="B454" s="5">
        <v>0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/>
    </row>
    <row r="455" spans="1:16" x14ac:dyDescent="0.2">
      <c r="A455" s="2"/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/>
    </row>
    <row r="456" spans="1:16" x14ac:dyDescent="0.2">
      <c r="A456" s="2"/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/>
    </row>
    <row r="457" spans="1:16" x14ac:dyDescent="0.2">
      <c r="A457" s="2"/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/>
    </row>
    <row r="458" spans="1:16" x14ac:dyDescent="0.2">
      <c r="A458" s="2"/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/>
    </row>
    <row r="459" spans="1:16" x14ac:dyDescent="0.2">
      <c r="A459" s="3" t="s">
        <v>8</v>
      </c>
      <c r="B459" s="10">
        <f t="shared" ref="B459:K459" si="155">SUM(B454:B458)</f>
        <v>0</v>
      </c>
      <c r="C459" s="10">
        <f t="shared" si="155"/>
        <v>0</v>
      </c>
      <c r="D459" s="10">
        <f t="shared" si="155"/>
        <v>0</v>
      </c>
      <c r="E459" s="10">
        <f t="shared" si="155"/>
        <v>0</v>
      </c>
      <c r="F459" s="10">
        <f t="shared" si="155"/>
        <v>0</v>
      </c>
      <c r="G459" s="10">
        <f t="shared" si="155"/>
        <v>0</v>
      </c>
      <c r="H459" s="10">
        <f t="shared" si="155"/>
        <v>0</v>
      </c>
      <c r="I459" s="10">
        <f t="shared" si="155"/>
        <v>0</v>
      </c>
      <c r="J459" s="10">
        <f t="shared" si="155"/>
        <v>0</v>
      </c>
      <c r="K459" s="10">
        <f t="shared" si="155"/>
        <v>0</v>
      </c>
      <c r="L459" s="10">
        <f>SUM(L454:L458)</f>
        <v>0</v>
      </c>
      <c r="M459" s="10">
        <f t="shared" ref="M459" si="156">SUM(M454:M458)</f>
        <v>0</v>
      </c>
      <c r="N459" s="10">
        <f>SUM(N453:N457)</f>
        <v>0</v>
      </c>
      <c r="O459" s="10">
        <f>SUM(O453:O456)</f>
        <v>0</v>
      </c>
      <c r="P459"/>
    </row>
    <row r="460" spans="1:1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  <c r="O460" s="6"/>
      <c r="P460"/>
    </row>
    <row r="461" spans="1:16" x14ac:dyDescent="0.2">
      <c r="A461" s="2" t="s">
        <v>9</v>
      </c>
      <c r="B461" s="29">
        <v>0</v>
      </c>
      <c r="C461" s="29">
        <v>0</v>
      </c>
      <c r="D461" s="29">
        <v>0</v>
      </c>
      <c r="E461" s="29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  <c r="L461" s="29">
        <v>0</v>
      </c>
      <c r="M461" s="29">
        <v>0</v>
      </c>
      <c r="N461" s="29">
        <v>0</v>
      </c>
      <c r="O461" s="29">
        <v>0</v>
      </c>
      <c r="P461"/>
    </row>
    <row r="462" spans="1:16" x14ac:dyDescent="0.2">
      <c r="A462" s="2" t="s">
        <v>10</v>
      </c>
      <c r="B462" s="29">
        <v>0</v>
      </c>
      <c r="C462" s="29">
        <v>0</v>
      </c>
      <c r="D462" s="29">
        <v>0</v>
      </c>
      <c r="E462" s="29">
        <v>0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  <c r="L462" s="29">
        <v>0</v>
      </c>
      <c r="M462" s="29">
        <v>0</v>
      </c>
      <c r="N462" s="29">
        <v>0</v>
      </c>
      <c r="O462" s="29">
        <v>0</v>
      </c>
      <c r="P462"/>
    </row>
    <row r="463" spans="1:16" x14ac:dyDescent="0.2">
      <c r="A463" s="2"/>
      <c r="B463" s="2"/>
      <c r="C463" s="2"/>
      <c r="D463" s="2"/>
      <c r="E463" s="2"/>
      <c r="F463" s="2"/>
      <c r="G463" s="2"/>
      <c r="H463" s="2"/>
      <c r="I463" s="2"/>
      <c r="K463" s="25"/>
      <c r="P463"/>
    </row>
    <row r="464" spans="1:16" x14ac:dyDescent="0.2">
      <c r="A464" s="3" t="s">
        <v>6</v>
      </c>
      <c r="B464" s="10">
        <f>+B431+B438+B445+B452+B459+B461+B462</f>
        <v>0</v>
      </c>
      <c r="C464" s="10">
        <f t="shared" ref="C464:I464" si="157">+C431+C438+C445+C452+C459+C461+C462</f>
        <v>0</v>
      </c>
      <c r="D464" s="10">
        <f t="shared" si="157"/>
        <v>0</v>
      </c>
      <c r="E464" s="10">
        <f t="shared" si="157"/>
        <v>0</v>
      </c>
      <c r="F464" s="10">
        <f t="shared" si="157"/>
        <v>0</v>
      </c>
      <c r="G464" s="10">
        <f t="shared" si="157"/>
        <v>0</v>
      </c>
      <c r="H464" s="10">
        <f t="shared" si="157"/>
        <v>0</v>
      </c>
      <c r="I464" s="10">
        <f t="shared" si="157"/>
        <v>0</v>
      </c>
      <c r="J464" s="10">
        <f t="shared" ref="J464:O464" si="158">+J459+J452+J445+J438+J431+J461+J462</f>
        <v>0</v>
      </c>
      <c r="K464" s="10">
        <f t="shared" si="158"/>
        <v>0</v>
      </c>
      <c r="L464" s="10">
        <f t="shared" si="158"/>
        <v>0</v>
      </c>
      <c r="M464" s="10">
        <f t="shared" si="158"/>
        <v>0</v>
      </c>
      <c r="N464" s="10">
        <f t="shared" si="158"/>
        <v>0</v>
      </c>
      <c r="O464" s="10">
        <f t="shared" si="158"/>
        <v>0</v>
      </c>
      <c r="P464"/>
    </row>
    <row r="465" spans="1:16" x14ac:dyDescent="0.2">
      <c r="B465" s="1"/>
      <c r="C465" s="1"/>
      <c r="D465" s="1"/>
      <c r="E465" s="1"/>
      <c r="F465" s="1"/>
      <c r="G465" s="1"/>
      <c r="H465" s="1"/>
      <c r="I465" s="2"/>
      <c r="P465"/>
    </row>
    <row r="466" spans="1:16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P466"/>
    </row>
    <row r="467" spans="1:16" x14ac:dyDescent="0.2">
      <c r="A467" s="11" t="s">
        <v>29</v>
      </c>
      <c r="B467" s="9"/>
      <c r="C467" s="9"/>
      <c r="D467" s="2"/>
      <c r="E467" s="2"/>
      <c r="F467" s="11" t="s">
        <v>0</v>
      </c>
      <c r="G467" s="2"/>
      <c r="H467" s="2"/>
      <c r="I467" s="2"/>
      <c r="P467"/>
    </row>
    <row r="468" spans="1:16" x14ac:dyDescent="0.2">
      <c r="A468" s="9"/>
      <c r="B468" s="9"/>
      <c r="C468" s="9"/>
      <c r="D468" s="2"/>
      <c r="E468" s="2"/>
      <c r="F468" s="11" t="s">
        <v>1</v>
      </c>
      <c r="G468" s="2"/>
      <c r="H468" s="2"/>
      <c r="I468" s="2"/>
      <c r="P468"/>
    </row>
    <row r="469" spans="1:16" x14ac:dyDescent="0.2">
      <c r="A469" s="2"/>
      <c r="B469" s="2"/>
      <c r="C469" s="2"/>
      <c r="D469" s="2"/>
      <c r="E469" s="2"/>
      <c r="F469" s="2"/>
      <c r="G469" s="2"/>
      <c r="H469" s="2"/>
      <c r="I469" s="2"/>
      <c r="P469"/>
    </row>
    <row r="470" spans="1:16" x14ac:dyDescent="0.2">
      <c r="A470" s="4"/>
      <c r="B470" s="11" t="s">
        <v>2</v>
      </c>
      <c r="C470" s="11" t="s">
        <v>38</v>
      </c>
      <c r="D470" s="11" t="s">
        <v>44</v>
      </c>
      <c r="E470" s="11" t="s">
        <v>41</v>
      </c>
      <c r="F470" s="11" t="s">
        <v>4</v>
      </c>
      <c r="G470" s="11" t="s">
        <v>36</v>
      </c>
      <c r="H470" s="11" t="s">
        <v>3</v>
      </c>
      <c r="I470" s="11" t="s">
        <v>40</v>
      </c>
      <c r="J470" s="11" t="s">
        <v>45</v>
      </c>
      <c r="K470" s="11" t="s">
        <v>5</v>
      </c>
      <c r="L470" s="11" t="s">
        <v>6</v>
      </c>
      <c r="M470" s="11" t="s">
        <v>46</v>
      </c>
      <c r="N470" s="11" t="s">
        <v>48</v>
      </c>
      <c r="O470" s="11" t="s">
        <v>49</v>
      </c>
      <c r="P470"/>
    </row>
    <row r="471" spans="1:16" x14ac:dyDescent="0.2">
      <c r="A471" s="2"/>
      <c r="B471" s="2"/>
      <c r="C471" s="2"/>
      <c r="D471" s="2"/>
      <c r="F471" s="2"/>
      <c r="G471" s="2"/>
      <c r="H471" s="2"/>
      <c r="J471" s="2"/>
      <c r="K471" s="2"/>
      <c r="L471" s="2"/>
      <c r="M471" s="2"/>
      <c r="N471" s="2"/>
      <c r="O471" s="2"/>
      <c r="P471"/>
    </row>
    <row r="472" spans="1:16" x14ac:dyDescent="0.2">
      <c r="A472" s="2"/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/>
    </row>
    <row r="473" spans="1:16" x14ac:dyDescent="0.2">
      <c r="A473" s="2">
        <v>1</v>
      </c>
      <c r="B473" s="5">
        <v>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/>
    </row>
    <row r="474" spans="1:16" x14ac:dyDescent="0.2">
      <c r="A474" s="2">
        <v>2</v>
      </c>
      <c r="B474" s="5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/>
    </row>
    <row r="475" spans="1:16" x14ac:dyDescent="0.2">
      <c r="A475" s="7">
        <v>3</v>
      </c>
      <c r="B475" s="5">
        <v>0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/>
    </row>
    <row r="476" spans="1:16" x14ac:dyDescent="0.2">
      <c r="A476" s="7">
        <v>4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/>
    </row>
    <row r="477" spans="1:16" x14ac:dyDescent="0.2">
      <c r="A477" s="3" t="s">
        <v>8</v>
      </c>
      <c r="B477" s="10">
        <f t="shared" ref="B477:K477" si="159">SUM(B472:B476)</f>
        <v>0</v>
      </c>
      <c r="C477" s="10">
        <f t="shared" si="159"/>
        <v>0</v>
      </c>
      <c r="D477" s="10">
        <f t="shared" si="159"/>
        <v>0</v>
      </c>
      <c r="E477" s="10">
        <f t="shared" si="159"/>
        <v>0</v>
      </c>
      <c r="F477" s="10">
        <f t="shared" si="159"/>
        <v>0</v>
      </c>
      <c r="G477" s="10">
        <f t="shared" si="159"/>
        <v>0</v>
      </c>
      <c r="H477" s="10">
        <f t="shared" si="159"/>
        <v>0</v>
      </c>
      <c r="I477" s="10">
        <f t="shared" si="159"/>
        <v>0</v>
      </c>
      <c r="J477" s="10">
        <f t="shared" si="159"/>
        <v>0</v>
      </c>
      <c r="K477" s="10">
        <f t="shared" si="159"/>
        <v>0</v>
      </c>
      <c r="L477" s="10">
        <f>SUM(L472:L476)</f>
        <v>0</v>
      </c>
      <c r="M477" s="10">
        <f t="shared" ref="M477" si="160">SUM(M472:M476)</f>
        <v>0</v>
      </c>
      <c r="N477" s="10">
        <f>SUM(N473:N476)</f>
        <v>0</v>
      </c>
      <c r="O477" s="10">
        <f>SUM(O473:O476)</f>
        <v>0</v>
      </c>
      <c r="P477"/>
    </row>
    <row r="478" spans="1:1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/>
    </row>
    <row r="479" spans="1:16" x14ac:dyDescent="0.2">
      <c r="A479" s="7">
        <v>7</v>
      </c>
      <c r="B479" s="5">
        <v>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/>
    </row>
    <row r="480" spans="1:16" x14ac:dyDescent="0.2">
      <c r="A480" s="7">
        <v>8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/>
    </row>
    <row r="481" spans="1:16" x14ac:dyDescent="0.2">
      <c r="A481" s="7">
        <v>9</v>
      </c>
      <c r="B481" s="5">
        <v>0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/>
    </row>
    <row r="482" spans="1:16" x14ac:dyDescent="0.2">
      <c r="A482" s="7">
        <v>10</v>
      </c>
      <c r="B482" s="5">
        <v>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/>
    </row>
    <row r="483" spans="1:16" x14ac:dyDescent="0.2">
      <c r="A483" s="8">
        <v>11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/>
    </row>
    <row r="484" spans="1:16" x14ac:dyDescent="0.2">
      <c r="A484" s="3" t="s">
        <v>8</v>
      </c>
      <c r="B484" s="10">
        <f t="shared" ref="B484:K484" si="161">SUM(B479:B483)</f>
        <v>0</v>
      </c>
      <c r="C484" s="10">
        <f t="shared" si="161"/>
        <v>0</v>
      </c>
      <c r="D484" s="10">
        <f t="shared" si="161"/>
        <v>0</v>
      </c>
      <c r="E484" s="10">
        <f t="shared" si="161"/>
        <v>0</v>
      </c>
      <c r="F484" s="10">
        <f t="shared" si="161"/>
        <v>0</v>
      </c>
      <c r="G484" s="10">
        <f t="shared" si="161"/>
        <v>0</v>
      </c>
      <c r="H484" s="10">
        <f t="shared" si="161"/>
        <v>0</v>
      </c>
      <c r="I484" s="10">
        <f t="shared" si="161"/>
        <v>0</v>
      </c>
      <c r="J484" s="10">
        <f t="shared" si="161"/>
        <v>0</v>
      </c>
      <c r="K484" s="10">
        <f t="shared" si="161"/>
        <v>0</v>
      </c>
      <c r="L484" s="10">
        <f>SUM(L479:L483)</f>
        <v>0</v>
      </c>
      <c r="M484" s="10">
        <f t="shared" ref="M484" si="162">SUM(M479:M483)</f>
        <v>0</v>
      </c>
      <c r="N484" s="10">
        <f t="shared" ref="N484:O484" si="163">SUM(N479:N483)</f>
        <v>0</v>
      </c>
      <c r="O484" s="10">
        <f t="shared" si="163"/>
        <v>0</v>
      </c>
      <c r="P484"/>
    </row>
    <row r="485" spans="1:1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/>
    </row>
    <row r="486" spans="1:16" x14ac:dyDescent="0.2">
      <c r="A486" s="2">
        <v>14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/>
    </row>
    <row r="487" spans="1:16" x14ac:dyDescent="0.2">
      <c r="A487" s="2">
        <v>15</v>
      </c>
      <c r="B487" s="5">
        <v>0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/>
    </row>
    <row r="488" spans="1:16" x14ac:dyDescent="0.2">
      <c r="A488" s="2">
        <v>16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/>
    </row>
    <row r="489" spans="1:16" x14ac:dyDescent="0.2">
      <c r="A489" s="2">
        <v>17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/>
    </row>
    <row r="490" spans="1:16" x14ac:dyDescent="0.2">
      <c r="A490" s="2">
        <v>18</v>
      </c>
      <c r="B490" s="5">
        <v>0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/>
    </row>
    <row r="491" spans="1:16" x14ac:dyDescent="0.2">
      <c r="A491" s="3" t="s">
        <v>8</v>
      </c>
      <c r="B491" s="10">
        <f t="shared" ref="B491:K491" si="164">SUM(B486:B490)</f>
        <v>0</v>
      </c>
      <c r="C491" s="10">
        <f t="shared" si="164"/>
        <v>0</v>
      </c>
      <c r="D491" s="10">
        <f t="shared" si="164"/>
        <v>0</v>
      </c>
      <c r="E491" s="10">
        <f t="shared" si="164"/>
        <v>0</v>
      </c>
      <c r="F491" s="10">
        <f t="shared" si="164"/>
        <v>0</v>
      </c>
      <c r="G491" s="10">
        <f t="shared" si="164"/>
        <v>0</v>
      </c>
      <c r="H491" s="10">
        <f t="shared" si="164"/>
        <v>0</v>
      </c>
      <c r="I491" s="10">
        <f t="shared" si="164"/>
        <v>0</v>
      </c>
      <c r="J491" s="10">
        <f t="shared" si="164"/>
        <v>0</v>
      </c>
      <c r="K491" s="10">
        <f t="shared" si="164"/>
        <v>0</v>
      </c>
      <c r="L491" s="10">
        <f>SUM(L486:L490)</f>
        <v>0</v>
      </c>
      <c r="M491" s="10">
        <f t="shared" ref="M491" si="165">SUM(M486:M490)</f>
        <v>0</v>
      </c>
      <c r="N491" s="10">
        <f>SUM(N486:N490)</f>
        <v>0</v>
      </c>
      <c r="O491" s="10">
        <f>SUM(O486:O490)</f>
        <v>0</v>
      </c>
      <c r="P491"/>
    </row>
    <row r="492" spans="1:1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/>
    </row>
    <row r="493" spans="1:16" x14ac:dyDescent="0.2">
      <c r="A493" s="2">
        <v>21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/>
    </row>
    <row r="494" spans="1:16" x14ac:dyDescent="0.2">
      <c r="A494" s="2">
        <v>22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/>
    </row>
    <row r="495" spans="1:16" x14ac:dyDescent="0.2">
      <c r="A495" s="2">
        <v>23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/>
    </row>
    <row r="496" spans="1:16" x14ac:dyDescent="0.2">
      <c r="A496" s="2">
        <v>24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/>
    </row>
    <row r="497" spans="1:16" x14ac:dyDescent="0.2">
      <c r="A497" s="2">
        <v>25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/>
    </row>
    <row r="498" spans="1:16" x14ac:dyDescent="0.2">
      <c r="A498" s="3" t="s">
        <v>8</v>
      </c>
      <c r="B498" s="10">
        <f t="shared" ref="B498:K498" si="166">SUM(B493:B497)</f>
        <v>0</v>
      </c>
      <c r="C498" s="10">
        <f t="shared" si="166"/>
        <v>0</v>
      </c>
      <c r="D498" s="10">
        <f t="shared" si="166"/>
        <v>0</v>
      </c>
      <c r="E498" s="10">
        <f t="shared" si="166"/>
        <v>0</v>
      </c>
      <c r="F498" s="10">
        <f t="shared" si="166"/>
        <v>0</v>
      </c>
      <c r="G498" s="10">
        <f t="shared" si="166"/>
        <v>0</v>
      </c>
      <c r="H498" s="10">
        <f t="shared" si="166"/>
        <v>0</v>
      </c>
      <c r="I498" s="10">
        <f t="shared" si="166"/>
        <v>0</v>
      </c>
      <c r="J498" s="10">
        <f t="shared" si="166"/>
        <v>0</v>
      </c>
      <c r="K498" s="10">
        <f t="shared" si="166"/>
        <v>0</v>
      </c>
      <c r="L498" s="10">
        <f>SUM(L493:L497)</f>
        <v>0</v>
      </c>
      <c r="M498" s="10">
        <f t="shared" ref="M498" si="167">SUM(M493:M497)</f>
        <v>0</v>
      </c>
      <c r="N498" s="10">
        <f>SUM(N493:N496)</f>
        <v>0</v>
      </c>
      <c r="O498" s="10">
        <f>SUM(O493:O496)</f>
        <v>0</v>
      </c>
      <c r="P498"/>
    </row>
    <row r="499" spans="1:1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5"/>
      <c r="O499" s="5"/>
      <c r="P499"/>
    </row>
    <row r="500" spans="1:16" x14ac:dyDescent="0.2">
      <c r="A500" s="2">
        <v>28</v>
      </c>
      <c r="B500" s="5">
        <v>0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/>
    </row>
    <row r="501" spans="1:16" x14ac:dyDescent="0.2">
      <c r="A501" s="2">
        <v>29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/>
    </row>
    <row r="502" spans="1:16" x14ac:dyDescent="0.2">
      <c r="A502" s="2">
        <v>30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/>
    </row>
    <row r="503" spans="1:16" x14ac:dyDescent="0.2">
      <c r="A503" s="2"/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/>
    </row>
    <row r="504" spans="1:16" x14ac:dyDescent="0.2">
      <c r="A504" s="2"/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/>
    </row>
    <row r="505" spans="1:16" x14ac:dyDescent="0.2">
      <c r="A505" s="3" t="s">
        <v>8</v>
      </c>
      <c r="B505" s="10">
        <f t="shared" ref="B505:K505" si="168">SUM(B500:B504)</f>
        <v>0</v>
      </c>
      <c r="C505" s="10">
        <f t="shared" si="168"/>
        <v>0</v>
      </c>
      <c r="D505" s="10">
        <f t="shared" si="168"/>
        <v>0</v>
      </c>
      <c r="E505" s="10">
        <f t="shared" si="168"/>
        <v>0</v>
      </c>
      <c r="F505" s="10">
        <f t="shared" si="168"/>
        <v>0</v>
      </c>
      <c r="G505" s="10">
        <f t="shared" si="168"/>
        <v>0</v>
      </c>
      <c r="H505" s="10">
        <f t="shared" si="168"/>
        <v>0</v>
      </c>
      <c r="I505" s="10">
        <f t="shared" si="168"/>
        <v>0</v>
      </c>
      <c r="J505" s="10">
        <f t="shared" si="168"/>
        <v>0</v>
      </c>
      <c r="K505" s="10">
        <f t="shared" si="168"/>
        <v>0</v>
      </c>
      <c r="L505" s="10">
        <f>SUM(L500:L504)</f>
        <v>0</v>
      </c>
      <c r="M505" s="10">
        <f t="shared" ref="M505" si="169">SUM(M500:M504)</f>
        <v>0</v>
      </c>
      <c r="N505" s="10">
        <f>SUM(N499:N503)</f>
        <v>0</v>
      </c>
      <c r="O505" s="10">
        <f>SUM(O499:O502)</f>
        <v>0</v>
      </c>
      <c r="P505"/>
    </row>
    <row r="506" spans="1:1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  <c r="O506" s="6"/>
      <c r="P506"/>
    </row>
    <row r="507" spans="1:16" x14ac:dyDescent="0.2">
      <c r="A507" s="2" t="s">
        <v>9</v>
      </c>
      <c r="B507" s="29">
        <v>0</v>
      </c>
      <c r="C507" s="29">
        <v>0</v>
      </c>
      <c r="D507" s="29">
        <v>0</v>
      </c>
      <c r="E507" s="29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  <c r="L507" s="29">
        <v>0</v>
      </c>
      <c r="M507" s="29">
        <v>0</v>
      </c>
      <c r="N507" s="29">
        <v>0</v>
      </c>
      <c r="O507" s="29">
        <v>0</v>
      </c>
      <c r="P507"/>
    </row>
    <row r="508" spans="1:16" x14ac:dyDescent="0.2">
      <c r="A508" s="2" t="s">
        <v>10</v>
      </c>
      <c r="B508" s="29">
        <v>0</v>
      </c>
      <c r="C508" s="29">
        <v>0</v>
      </c>
      <c r="D508" s="29">
        <v>0</v>
      </c>
      <c r="E508" s="29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0</v>
      </c>
      <c r="L508" s="29">
        <v>0</v>
      </c>
      <c r="M508" s="29">
        <v>0</v>
      </c>
      <c r="N508" s="29">
        <v>0</v>
      </c>
      <c r="O508" s="29">
        <v>0</v>
      </c>
      <c r="P508"/>
    </row>
    <row r="509" spans="1:16" x14ac:dyDescent="0.2">
      <c r="A509" s="2"/>
      <c r="B509" s="2"/>
      <c r="C509" s="2"/>
      <c r="D509" s="2"/>
      <c r="E509" s="2"/>
      <c r="F509" s="2"/>
      <c r="G509" s="2"/>
      <c r="H509" s="2"/>
      <c r="I509" s="2"/>
      <c r="K509" s="25"/>
      <c r="P509"/>
    </row>
    <row r="510" spans="1:16" x14ac:dyDescent="0.2">
      <c r="A510" s="3" t="s">
        <v>6</v>
      </c>
      <c r="B510" s="10">
        <f>+B477+B484+B491+B498+B505+B507+B508</f>
        <v>0</v>
      </c>
      <c r="C510" s="10">
        <f t="shared" ref="C510:I510" si="170">+C477+C484+C491+C498+C505+C507+C508</f>
        <v>0</v>
      </c>
      <c r="D510" s="10">
        <f t="shared" si="170"/>
        <v>0</v>
      </c>
      <c r="E510" s="10">
        <f t="shared" si="170"/>
        <v>0</v>
      </c>
      <c r="F510" s="10">
        <f t="shared" si="170"/>
        <v>0</v>
      </c>
      <c r="G510" s="10">
        <f t="shared" si="170"/>
        <v>0</v>
      </c>
      <c r="H510" s="10">
        <f t="shared" si="170"/>
        <v>0</v>
      </c>
      <c r="I510" s="10">
        <f t="shared" si="170"/>
        <v>0</v>
      </c>
      <c r="J510" s="10">
        <f t="shared" ref="J510:O510" si="171">+J505+J498+J491+J484+J477+J507+J508</f>
        <v>0</v>
      </c>
      <c r="K510" s="10">
        <f t="shared" si="171"/>
        <v>0</v>
      </c>
      <c r="L510" s="10">
        <f t="shared" si="171"/>
        <v>0</v>
      </c>
      <c r="M510" s="10">
        <f t="shared" si="171"/>
        <v>0</v>
      </c>
      <c r="N510" s="10">
        <f t="shared" si="171"/>
        <v>0</v>
      </c>
      <c r="O510" s="10">
        <f t="shared" si="171"/>
        <v>0</v>
      </c>
      <c r="P510"/>
    </row>
    <row r="511" spans="1:16" x14ac:dyDescent="0.2">
      <c r="B511" s="1"/>
      <c r="C511" s="1"/>
      <c r="D511" s="1"/>
      <c r="E511" s="1"/>
      <c r="F511" s="1"/>
      <c r="G511" s="1"/>
      <c r="H511" s="1"/>
      <c r="I511" s="2"/>
      <c r="P511"/>
    </row>
    <row r="512" spans="1:16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P512"/>
    </row>
    <row r="513" spans="1:16" x14ac:dyDescent="0.2">
      <c r="A513" s="11" t="s">
        <v>30</v>
      </c>
      <c r="B513" s="9"/>
      <c r="C513" s="9"/>
      <c r="D513" s="2"/>
      <c r="E513" s="2"/>
      <c r="F513" s="11" t="s">
        <v>0</v>
      </c>
      <c r="G513" s="2"/>
      <c r="H513" s="2"/>
      <c r="I513" s="2"/>
      <c r="P513"/>
    </row>
    <row r="514" spans="1:16" x14ac:dyDescent="0.2">
      <c r="A514" s="9"/>
      <c r="B514" s="9"/>
      <c r="C514" s="9"/>
      <c r="D514" s="2"/>
      <c r="E514" s="2"/>
      <c r="F514" s="11" t="s">
        <v>1</v>
      </c>
      <c r="G514" s="2"/>
      <c r="H514" s="2"/>
      <c r="I514" s="2"/>
      <c r="P514"/>
    </row>
    <row r="515" spans="1:16" x14ac:dyDescent="0.2">
      <c r="A515" s="2"/>
      <c r="B515" s="2"/>
      <c r="C515" s="2"/>
      <c r="D515" s="2"/>
      <c r="E515" s="2"/>
      <c r="F515" s="2"/>
      <c r="G515" s="2"/>
      <c r="H515" s="2"/>
      <c r="I515" s="2"/>
      <c r="P515"/>
    </row>
    <row r="516" spans="1:16" x14ac:dyDescent="0.2">
      <c r="A516" s="4"/>
      <c r="B516" s="11" t="s">
        <v>2</v>
      </c>
      <c r="C516" s="11" t="s">
        <v>38</v>
      </c>
      <c r="D516" s="11" t="s">
        <v>44</v>
      </c>
      <c r="E516" s="11" t="s">
        <v>41</v>
      </c>
      <c r="F516" s="11" t="s">
        <v>4</v>
      </c>
      <c r="G516" s="11" t="s">
        <v>36</v>
      </c>
      <c r="H516" s="11" t="s">
        <v>3</v>
      </c>
      <c r="I516" s="11" t="s">
        <v>40</v>
      </c>
      <c r="J516" s="11" t="s">
        <v>45</v>
      </c>
      <c r="K516" s="11" t="s">
        <v>5</v>
      </c>
      <c r="L516" s="11" t="s">
        <v>6</v>
      </c>
      <c r="M516" s="11" t="s">
        <v>46</v>
      </c>
      <c r="N516" s="11" t="s">
        <v>48</v>
      </c>
      <c r="O516" s="11" t="s">
        <v>49</v>
      </c>
      <c r="P516"/>
    </row>
    <row r="517" spans="1:16" x14ac:dyDescent="0.2">
      <c r="A517" s="2"/>
      <c r="B517" s="2"/>
      <c r="C517" s="2"/>
      <c r="D517" s="2"/>
      <c r="F517" s="2"/>
      <c r="G517" s="2"/>
      <c r="H517" s="2"/>
      <c r="J517" s="2"/>
      <c r="K517" s="2"/>
      <c r="L517" s="2"/>
      <c r="M517" s="2"/>
      <c r="N517" s="2"/>
      <c r="O517" s="2"/>
      <c r="P517"/>
    </row>
    <row r="518" spans="1:16" x14ac:dyDescent="0.2">
      <c r="A518" s="2"/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/>
    </row>
    <row r="519" spans="1:16" x14ac:dyDescent="0.2">
      <c r="A519" s="2"/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/>
    </row>
    <row r="520" spans="1:16" x14ac:dyDescent="0.2">
      <c r="A520" s="2"/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/>
    </row>
    <row r="521" spans="1:16" x14ac:dyDescent="0.2">
      <c r="A521" s="7">
        <v>1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/>
    </row>
    <row r="522" spans="1:16" x14ac:dyDescent="0.2">
      <c r="A522" s="7">
        <v>2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/>
    </row>
    <row r="523" spans="1:16" x14ac:dyDescent="0.2">
      <c r="A523" s="3" t="s">
        <v>8</v>
      </c>
      <c r="B523" s="10">
        <f t="shared" ref="B523:K523" si="172">SUM(B518:B522)</f>
        <v>0</v>
      </c>
      <c r="C523" s="10">
        <f t="shared" si="172"/>
        <v>0</v>
      </c>
      <c r="D523" s="10">
        <f t="shared" si="172"/>
        <v>0</v>
      </c>
      <c r="E523" s="10">
        <f t="shared" si="172"/>
        <v>0</v>
      </c>
      <c r="F523" s="10">
        <f t="shared" si="172"/>
        <v>0</v>
      </c>
      <c r="G523" s="10">
        <f t="shared" si="172"/>
        <v>0</v>
      </c>
      <c r="H523" s="10">
        <f t="shared" si="172"/>
        <v>0</v>
      </c>
      <c r="I523" s="10">
        <f t="shared" si="172"/>
        <v>0</v>
      </c>
      <c r="J523" s="10">
        <f t="shared" si="172"/>
        <v>0</v>
      </c>
      <c r="K523" s="10">
        <f t="shared" si="172"/>
        <v>0</v>
      </c>
      <c r="L523" s="10">
        <f>SUM(L518:L522)</f>
        <v>0</v>
      </c>
      <c r="M523" s="10">
        <f t="shared" ref="M523" si="173">SUM(M518:M522)</f>
        <v>0</v>
      </c>
      <c r="N523" s="10">
        <f>SUM(N519:N522)</f>
        <v>0</v>
      </c>
      <c r="O523" s="10">
        <f>SUM(O519:O522)</f>
        <v>0</v>
      </c>
      <c r="P523"/>
    </row>
    <row r="524" spans="1:1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/>
    </row>
    <row r="525" spans="1:16" x14ac:dyDescent="0.2">
      <c r="A525" s="7">
        <v>5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/>
    </row>
    <row r="526" spans="1:16" x14ac:dyDescent="0.2">
      <c r="A526" s="7">
        <v>6</v>
      </c>
      <c r="B526" s="5">
        <v>0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/>
    </row>
    <row r="527" spans="1:16" x14ac:dyDescent="0.2">
      <c r="A527" s="7">
        <v>7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/>
    </row>
    <row r="528" spans="1:16" x14ac:dyDescent="0.2">
      <c r="A528" s="7">
        <v>8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/>
    </row>
    <row r="529" spans="1:16" x14ac:dyDescent="0.2">
      <c r="A529" s="8">
        <v>9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/>
    </row>
    <row r="530" spans="1:16" x14ac:dyDescent="0.2">
      <c r="A530" s="3" t="s">
        <v>8</v>
      </c>
      <c r="B530" s="10">
        <f t="shared" ref="B530:K530" si="174">SUM(B525:B529)</f>
        <v>0</v>
      </c>
      <c r="C530" s="10">
        <f t="shared" si="174"/>
        <v>0</v>
      </c>
      <c r="D530" s="10">
        <f t="shared" si="174"/>
        <v>0</v>
      </c>
      <c r="E530" s="10">
        <f t="shared" si="174"/>
        <v>0</v>
      </c>
      <c r="F530" s="10">
        <f t="shared" si="174"/>
        <v>0</v>
      </c>
      <c r="G530" s="10">
        <f t="shared" si="174"/>
        <v>0</v>
      </c>
      <c r="H530" s="10">
        <f t="shared" si="174"/>
        <v>0</v>
      </c>
      <c r="I530" s="10">
        <f t="shared" si="174"/>
        <v>0</v>
      </c>
      <c r="J530" s="10">
        <f t="shared" si="174"/>
        <v>0</v>
      </c>
      <c r="K530" s="10">
        <f t="shared" si="174"/>
        <v>0</v>
      </c>
      <c r="L530" s="10">
        <f>SUM(L525:L529)</f>
        <v>0</v>
      </c>
      <c r="M530" s="10">
        <f t="shared" ref="M530" si="175">SUM(M525:M529)</f>
        <v>0</v>
      </c>
      <c r="N530" s="10">
        <f t="shared" ref="N530:O530" si="176">SUM(N525:N529)</f>
        <v>0</v>
      </c>
      <c r="O530" s="10">
        <f t="shared" si="176"/>
        <v>0</v>
      </c>
      <c r="P530"/>
    </row>
    <row r="531" spans="1:1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/>
    </row>
    <row r="532" spans="1:16" x14ac:dyDescent="0.2">
      <c r="A532" s="2">
        <v>12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/>
    </row>
    <row r="533" spans="1:16" x14ac:dyDescent="0.2">
      <c r="A533" s="2">
        <v>13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/>
    </row>
    <row r="534" spans="1:16" x14ac:dyDescent="0.2">
      <c r="A534" s="2">
        <v>14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/>
    </row>
    <row r="535" spans="1:16" x14ac:dyDescent="0.2">
      <c r="A535" s="2">
        <v>15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/>
    </row>
    <row r="536" spans="1:16" x14ac:dyDescent="0.2">
      <c r="A536" s="2">
        <v>16</v>
      </c>
      <c r="B536" s="5">
        <v>0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/>
    </row>
    <row r="537" spans="1:16" x14ac:dyDescent="0.2">
      <c r="A537" s="3" t="s">
        <v>8</v>
      </c>
      <c r="B537" s="10">
        <f t="shared" ref="B537:K537" si="177">SUM(B532:B536)</f>
        <v>0</v>
      </c>
      <c r="C537" s="10">
        <f t="shared" si="177"/>
        <v>0</v>
      </c>
      <c r="D537" s="10">
        <f t="shared" si="177"/>
        <v>0</v>
      </c>
      <c r="E537" s="10">
        <f t="shared" si="177"/>
        <v>0</v>
      </c>
      <c r="F537" s="10">
        <f t="shared" si="177"/>
        <v>0</v>
      </c>
      <c r="G537" s="10">
        <f t="shared" si="177"/>
        <v>0</v>
      </c>
      <c r="H537" s="10">
        <f t="shared" si="177"/>
        <v>0</v>
      </c>
      <c r="I537" s="10">
        <f t="shared" si="177"/>
        <v>0</v>
      </c>
      <c r="J537" s="10">
        <f t="shared" si="177"/>
        <v>0</v>
      </c>
      <c r="K537" s="10">
        <f t="shared" si="177"/>
        <v>0</v>
      </c>
      <c r="L537" s="10">
        <f>SUM(L532:L536)</f>
        <v>0</v>
      </c>
      <c r="M537" s="10">
        <f t="shared" ref="M537" si="178">SUM(M532:M536)</f>
        <v>0</v>
      </c>
      <c r="N537" s="10">
        <f>SUM(N532:N536)</f>
        <v>0</v>
      </c>
      <c r="O537" s="10">
        <f>SUM(O532:O536)</f>
        <v>0</v>
      </c>
      <c r="P537"/>
    </row>
    <row r="538" spans="1:1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/>
    </row>
    <row r="539" spans="1:16" x14ac:dyDescent="0.2">
      <c r="A539" s="2">
        <v>19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/>
    </row>
    <row r="540" spans="1:16" x14ac:dyDescent="0.2">
      <c r="A540" s="2">
        <v>20</v>
      </c>
      <c r="B540" s="5">
        <v>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/>
    </row>
    <row r="541" spans="1:16" x14ac:dyDescent="0.2">
      <c r="A541" s="2">
        <v>21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/>
    </row>
    <row r="542" spans="1:16" x14ac:dyDescent="0.2">
      <c r="A542" s="2">
        <v>22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/>
    </row>
    <row r="543" spans="1:16" x14ac:dyDescent="0.2">
      <c r="A543" s="2">
        <v>23</v>
      </c>
      <c r="B543" s="5">
        <v>0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/>
    </row>
    <row r="544" spans="1:16" x14ac:dyDescent="0.2">
      <c r="A544" s="3" t="s">
        <v>8</v>
      </c>
      <c r="B544" s="10">
        <f t="shared" ref="B544:K544" si="179">SUM(B539:B543)</f>
        <v>0</v>
      </c>
      <c r="C544" s="10">
        <f t="shared" si="179"/>
        <v>0</v>
      </c>
      <c r="D544" s="10">
        <f t="shared" si="179"/>
        <v>0</v>
      </c>
      <c r="E544" s="10">
        <f t="shared" si="179"/>
        <v>0</v>
      </c>
      <c r="F544" s="10">
        <f t="shared" si="179"/>
        <v>0</v>
      </c>
      <c r="G544" s="10">
        <f t="shared" si="179"/>
        <v>0</v>
      </c>
      <c r="H544" s="10">
        <f t="shared" si="179"/>
        <v>0</v>
      </c>
      <c r="I544" s="10">
        <f t="shared" si="179"/>
        <v>0</v>
      </c>
      <c r="J544" s="10">
        <f t="shared" si="179"/>
        <v>0</v>
      </c>
      <c r="K544" s="10">
        <f t="shared" si="179"/>
        <v>0</v>
      </c>
      <c r="L544" s="10">
        <f>SUM(L539:L543)</f>
        <v>0</v>
      </c>
      <c r="M544" s="10">
        <f t="shared" ref="M544" si="180">SUM(M539:M543)</f>
        <v>0</v>
      </c>
      <c r="N544" s="10">
        <f>SUM(N539:N542)</f>
        <v>0</v>
      </c>
      <c r="O544" s="10">
        <f>SUM(O539:O542)</f>
        <v>0</v>
      </c>
      <c r="P544"/>
    </row>
    <row r="545" spans="1:1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5"/>
      <c r="O545" s="5"/>
      <c r="P545"/>
    </row>
    <row r="546" spans="1:16" x14ac:dyDescent="0.2">
      <c r="A546" s="2">
        <v>26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/>
    </row>
    <row r="547" spans="1:16" x14ac:dyDescent="0.2">
      <c r="A547" s="2">
        <v>27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/>
    </row>
    <row r="548" spans="1:16" x14ac:dyDescent="0.2">
      <c r="A548" s="2">
        <v>28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/>
    </row>
    <row r="549" spans="1:16" x14ac:dyDescent="0.2">
      <c r="A549" s="2">
        <v>29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/>
    </row>
    <row r="550" spans="1:16" x14ac:dyDescent="0.2">
      <c r="A550" s="2">
        <v>30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/>
    </row>
    <row r="551" spans="1:16" x14ac:dyDescent="0.2">
      <c r="A551" s="3" t="s">
        <v>8</v>
      </c>
      <c r="B551" s="10">
        <f t="shared" ref="B551:K551" si="181">SUM(B546:B550)</f>
        <v>0</v>
      </c>
      <c r="C551" s="10">
        <f t="shared" si="181"/>
        <v>0</v>
      </c>
      <c r="D551" s="10">
        <f t="shared" si="181"/>
        <v>0</v>
      </c>
      <c r="E551" s="10">
        <f t="shared" si="181"/>
        <v>0</v>
      </c>
      <c r="F551" s="10">
        <f t="shared" si="181"/>
        <v>0</v>
      </c>
      <c r="G551" s="10">
        <f t="shared" si="181"/>
        <v>0</v>
      </c>
      <c r="H551" s="10">
        <f t="shared" si="181"/>
        <v>0</v>
      </c>
      <c r="I551" s="10">
        <f t="shared" si="181"/>
        <v>0</v>
      </c>
      <c r="J551" s="10">
        <f t="shared" si="181"/>
        <v>0</v>
      </c>
      <c r="K551" s="10">
        <f t="shared" si="181"/>
        <v>0</v>
      </c>
      <c r="L551" s="10">
        <f>SUM(L546:L550)</f>
        <v>0</v>
      </c>
      <c r="M551" s="10">
        <f t="shared" ref="M551" si="182">SUM(M546:M550)</f>
        <v>0</v>
      </c>
      <c r="N551" s="10">
        <f>SUM(N545:N549)</f>
        <v>0</v>
      </c>
      <c r="O551" s="10">
        <f>SUM(O545:O548)</f>
        <v>0</v>
      </c>
      <c r="P551"/>
    </row>
    <row r="552" spans="1:1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  <c r="O552" s="6"/>
      <c r="P552"/>
    </row>
    <row r="553" spans="1:16" x14ac:dyDescent="0.2">
      <c r="A553" s="2">
        <v>31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/>
    </row>
    <row r="554" spans="1:16" x14ac:dyDescent="0.2">
      <c r="A554" s="3" t="s">
        <v>8</v>
      </c>
      <c r="B554" s="10">
        <f>SUM(B553:B553)</f>
        <v>0</v>
      </c>
      <c r="C554" s="10">
        <f t="shared" ref="C554:N554" si="183">SUM(C553:C553)</f>
        <v>0</v>
      </c>
      <c r="D554" s="10">
        <f t="shared" si="183"/>
        <v>0</v>
      </c>
      <c r="E554" s="10">
        <f t="shared" si="183"/>
        <v>0</v>
      </c>
      <c r="F554" s="10">
        <f t="shared" si="183"/>
        <v>0</v>
      </c>
      <c r="G554" s="10">
        <f t="shared" si="183"/>
        <v>0</v>
      </c>
      <c r="H554" s="10">
        <f t="shared" si="183"/>
        <v>0</v>
      </c>
      <c r="I554" s="10">
        <f t="shared" si="183"/>
        <v>0</v>
      </c>
      <c r="J554" s="10">
        <f t="shared" si="183"/>
        <v>0</v>
      </c>
      <c r="K554" s="10">
        <f t="shared" si="183"/>
        <v>0</v>
      </c>
      <c r="L554" s="10">
        <f t="shared" si="183"/>
        <v>0</v>
      </c>
      <c r="M554" s="10">
        <f t="shared" si="183"/>
        <v>0</v>
      </c>
      <c r="N554" s="10">
        <f t="shared" si="183"/>
        <v>0</v>
      </c>
      <c r="O554" s="10">
        <f>SUM(O553:O553)</f>
        <v>0</v>
      </c>
      <c r="P554"/>
    </row>
    <row r="555" spans="1:1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  <c r="O555" s="6"/>
      <c r="P555"/>
    </row>
    <row r="556" spans="1:16" x14ac:dyDescent="0.2">
      <c r="A556" s="2" t="s">
        <v>9</v>
      </c>
      <c r="B556" s="29">
        <v>0</v>
      </c>
      <c r="C556" s="29">
        <v>0</v>
      </c>
      <c r="D556" s="29">
        <v>0</v>
      </c>
      <c r="E556" s="29">
        <v>0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29">
        <v>0</v>
      </c>
      <c r="L556" s="29">
        <v>0</v>
      </c>
      <c r="M556" s="29">
        <v>0</v>
      </c>
      <c r="N556" s="29">
        <v>0</v>
      </c>
      <c r="O556" s="29">
        <v>0</v>
      </c>
      <c r="P556"/>
    </row>
    <row r="557" spans="1:16" x14ac:dyDescent="0.2">
      <c r="A557" s="2" t="s">
        <v>10</v>
      </c>
      <c r="B557" s="29">
        <v>0</v>
      </c>
      <c r="C557" s="29">
        <v>0</v>
      </c>
      <c r="D557" s="29">
        <v>0</v>
      </c>
      <c r="E557" s="29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29">
        <v>0</v>
      </c>
      <c r="L557" s="29">
        <v>0</v>
      </c>
      <c r="M557" s="29">
        <v>0</v>
      </c>
      <c r="N557" s="29">
        <v>0</v>
      </c>
      <c r="O557" s="29">
        <v>0</v>
      </c>
      <c r="P557"/>
    </row>
    <row r="558" spans="1:16" x14ac:dyDescent="0.2">
      <c r="A558" s="2"/>
      <c r="B558" s="2"/>
      <c r="C558" s="2"/>
      <c r="D558" s="2"/>
      <c r="E558" s="2"/>
      <c r="F558" s="2"/>
      <c r="G558" s="2"/>
      <c r="H558" s="2"/>
      <c r="I558" s="2"/>
      <c r="K558" s="25"/>
      <c r="P558"/>
    </row>
    <row r="559" spans="1:16" x14ac:dyDescent="0.2">
      <c r="A559" s="3" t="s">
        <v>6</v>
      </c>
      <c r="B559" s="10">
        <f>+B523+B530+B537+B544+B551+B556+B557+B554</f>
        <v>0</v>
      </c>
      <c r="C559" s="10">
        <f t="shared" ref="C559:N559" si="184">+C523+C530+C537+C544+C551+C556+C557+C554</f>
        <v>0</v>
      </c>
      <c r="D559" s="10">
        <f t="shared" si="184"/>
        <v>0</v>
      </c>
      <c r="E559" s="10">
        <f t="shared" si="184"/>
        <v>0</v>
      </c>
      <c r="F559" s="10">
        <f t="shared" si="184"/>
        <v>0</v>
      </c>
      <c r="G559" s="10">
        <f t="shared" si="184"/>
        <v>0</v>
      </c>
      <c r="H559" s="10">
        <f t="shared" si="184"/>
        <v>0</v>
      </c>
      <c r="I559" s="10">
        <f t="shared" si="184"/>
        <v>0</v>
      </c>
      <c r="J559" s="10">
        <f t="shared" si="184"/>
        <v>0</v>
      </c>
      <c r="K559" s="10">
        <f t="shared" si="184"/>
        <v>0</v>
      </c>
      <c r="L559" s="10">
        <f t="shared" si="184"/>
        <v>0</v>
      </c>
      <c r="M559" s="10">
        <f t="shared" si="184"/>
        <v>0</v>
      </c>
      <c r="N559" s="10">
        <f t="shared" si="184"/>
        <v>0</v>
      </c>
      <c r="O559" s="10">
        <f>+O523+O530+O537+O544+O551+O556+O557+O554</f>
        <v>0</v>
      </c>
      <c r="P559"/>
    </row>
    <row r="560" spans="1:16" x14ac:dyDescent="0.2">
      <c r="B560" s="1"/>
      <c r="C560" s="1"/>
      <c r="D560" s="1"/>
      <c r="E560" s="1"/>
      <c r="F560" s="1"/>
      <c r="G560" s="1"/>
      <c r="H560" s="1"/>
      <c r="I560" s="2"/>
      <c r="P560"/>
    </row>
    <row r="561" spans="1:17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P561"/>
    </row>
    <row r="562" spans="1:17" x14ac:dyDescent="0.2">
      <c r="B562" s="25"/>
      <c r="J562"/>
      <c r="M562"/>
      <c r="N562"/>
      <c r="P562"/>
    </row>
    <row r="563" spans="1:17" x14ac:dyDescent="0.2">
      <c r="B563" s="25"/>
      <c r="J563"/>
      <c r="M563"/>
      <c r="N563"/>
      <c r="P563"/>
    </row>
    <row r="564" spans="1:17" x14ac:dyDescent="0.2">
      <c r="B564" s="25"/>
      <c r="J564"/>
      <c r="M564"/>
      <c r="N564"/>
      <c r="P564"/>
    </row>
    <row r="565" spans="1:17" x14ac:dyDescent="0.2">
      <c r="B565" s="1"/>
      <c r="C565" s="1"/>
      <c r="D565" s="1"/>
      <c r="E565" s="1"/>
      <c r="F565" s="1"/>
      <c r="G565" s="1"/>
      <c r="H565" s="1"/>
      <c r="I565" s="1"/>
      <c r="J565" s="29"/>
      <c r="O565" s="25"/>
      <c r="P565"/>
      <c r="Q565" s="25"/>
    </row>
    <row r="566" spans="1:17" x14ac:dyDescent="0.2">
      <c r="O566" s="25"/>
      <c r="P566"/>
      <c r="Q566" s="25"/>
    </row>
    <row r="567" spans="1:17" x14ac:dyDescent="0.2">
      <c r="O567" s="25"/>
      <c r="P567"/>
      <c r="Q567" s="25"/>
    </row>
    <row r="568" spans="1:17" x14ac:dyDescent="0.2">
      <c r="O568" s="25"/>
      <c r="P568"/>
      <c r="Q568" s="25"/>
    </row>
    <row r="569" spans="1:17" x14ac:dyDescent="0.2">
      <c r="O569" s="25"/>
      <c r="P569"/>
      <c r="Q569" s="25"/>
    </row>
    <row r="570" spans="1:17" x14ac:dyDescent="0.2">
      <c r="O570" s="25"/>
      <c r="P570"/>
      <c r="Q570" s="25"/>
    </row>
    <row r="573" spans="1:17" x14ac:dyDescent="0.2">
      <c r="C573" s="1"/>
    </row>
    <row r="584" spans="13:13" x14ac:dyDescent="0.2">
      <c r="M584"/>
    </row>
    <row r="585" spans="13:13" x14ac:dyDescent="0.2">
      <c r="M585"/>
    </row>
    <row r="587" spans="13:13" x14ac:dyDescent="0.2">
      <c r="M587"/>
    </row>
    <row r="588" spans="13:13" x14ac:dyDescent="0.2">
      <c r="M588"/>
    </row>
    <row r="589" spans="13:13" x14ac:dyDescent="0.2">
      <c r="M589"/>
    </row>
    <row r="590" spans="13:13" x14ac:dyDescent="0.2">
      <c r="M590"/>
    </row>
    <row r="591" spans="13:13" x14ac:dyDescent="0.2">
      <c r="M591"/>
    </row>
    <row r="592" spans="13:13" x14ac:dyDescent="0.2">
      <c r="M592"/>
    </row>
    <row r="593" spans="13:13" x14ac:dyDescent="0.2">
      <c r="M593"/>
    </row>
    <row r="594" spans="13:13" x14ac:dyDescent="0.2">
      <c r="M594"/>
    </row>
    <row r="595" spans="13:13" x14ac:dyDescent="0.2">
      <c r="M595"/>
    </row>
    <row r="596" spans="13:13" x14ac:dyDescent="0.2">
      <c r="M596"/>
    </row>
    <row r="597" spans="13:13" x14ac:dyDescent="0.2">
      <c r="M597"/>
    </row>
  </sheetData>
  <phoneticPr fontId="0" type="noConversion"/>
  <pageMargins left="0.75" right="0.75" top="1" bottom="1" header="0.5" footer="0.5"/>
  <pageSetup scale="5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561"/>
  <sheetViews>
    <sheetView topLeftCell="A172" workbookViewId="0">
      <selection activeCell="B211" sqref="B211"/>
    </sheetView>
  </sheetViews>
  <sheetFormatPr defaultRowHeight="12.75" x14ac:dyDescent="0.2"/>
  <cols>
    <col min="2" max="2" width="13.28515625" bestFit="1" customWidth="1"/>
    <col min="3" max="3" width="12.85546875" customWidth="1"/>
    <col min="4" max="4" width="12.7109375" customWidth="1"/>
    <col min="5" max="5" width="12.140625" customWidth="1"/>
    <col min="9" max="9" width="13.42578125" style="25" customWidth="1"/>
    <col min="11" max="11" width="12.28515625" style="25" customWidth="1"/>
  </cols>
  <sheetData>
    <row r="1" spans="1:5" x14ac:dyDescent="0.2">
      <c r="A1" s="11" t="s">
        <v>20</v>
      </c>
      <c r="B1" s="9"/>
      <c r="C1" s="2"/>
      <c r="D1" s="2"/>
    </row>
    <row r="2" spans="1:5" x14ac:dyDescent="0.2">
      <c r="A2" s="9"/>
      <c r="B2" s="9"/>
      <c r="C2" s="2"/>
      <c r="D2" s="2"/>
    </row>
    <row r="3" spans="1:5" x14ac:dyDescent="0.2">
      <c r="A3" s="2"/>
      <c r="B3" s="2"/>
      <c r="C3" s="2"/>
      <c r="D3" s="2"/>
    </row>
    <row r="4" spans="1:5" x14ac:dyDescent="0.2">
      <c r="A4" s="4"/>
      <c r="B4" s="11" t="s">
        <v>47</v>
      </c>
      <c r="C4" s="11" t="s">
        <v>46</v>
      </c>
      <c r="D4" s="11" t="s">
        <v>48</v>
      </c>
      <c r="E4" s="11" t="s">
        <v>49</v>
      </c>
    </row>
    <row r="5" spans="1:5" x14ac:dyDescent="0.2">
      <c r="A5" s="2"/>
      <c r="B5" s="2"/>
      <c r="C5" s="2"/>
      <c r="D5" s="2"/>
      <c r="E5" s="2"/>
    </row>
    <row r="6" spans="1:5" x14ac:dyDescent="0.2">
      <c r="A6" s="2">
        <v>4</v>
      </c>
      <c r="B6" s="5">
        <v>543823.21</v>
      </c>
      <c r="C6" s="5">
        <v>0</v>
      </c>
      <c r="D6" s="5">
        <v>0</v>
      </c>
      <c r="E6" s="5">
        <v>0</v>
      </c>
    </row>
    <row r="7" spans="1:5" x14ac:dyDescent="0.2">
      <c r="A7" s="2">
        <v>5</v>
      </c>
      <c r="B7" s="5">
        <f>261408.85+23765.25</f>
        <v>285174.09999999998</v>
      </c>
      <c r="C7" s="5">
        <v>0</v>
      </c>
      <c r="D7" s="5">
        <v>0</v>
      </c>
      <c r="E7" s="5">
        <v>0</v>
      </c>
    </row>
    <row r="8" spans="1:5" x14ac:dyDescent="0.2">
      <c r="A8" s="2">
        <v>6</v>
      </c>
      <c r="B8" s="5">
        <v>51265.57</v>
      </c>
      <c r="C8" s="5">
        <v>125</v>
      </c>
      <c r="D8" s="5">
        <v>0</v>
      </c>
      <c r="E8" s="5">
        <v>0</v>
      </c>
    </row>
    <row r="9" spans="1:5" x14ac:dyDescent="0.2">
      <c r="A9" s="7">
        <v>7</v>
      </c>
      <c r="B9" s="5">
        <f>257856.86+13026.05+151556.2</f>
        <v>422439.11</v>
      </c>
      <c r="C9" s="5">
        <v>2154.35</v>
      </c>
      <c r="D9" s="5">
        <v>0</v>
      </c>
      <c r="E9" s="5">
        <v>0</v>
      </c>
    </row>
    <row r="10" spans="1:5" x14ac:dyDescent="0.2">
      <c r="A10" s="7">
        <v>8</v>
      </c>
      <c r="B10" s="6">
        <f>20081.14+108468.27+161656.97+12726.33</f>
        <v>302932.71000000002</v>
      </c>
      <c r="C10" s="6">
        <v>0</v>
      </c>
      <c r="D10" s="6">
        <v>0</v>
      </c>
      <c r="E10" s="6">
        <v>0</v>
      </c>
    </row>
    <row r="11" spans="1:5" x14ac:dyDescent="0.2">
      <c r="A11" s="3" t="s">
        <v>8</v>
      </c>
      <c r="B11" s="10">
        <f>SUM(B6:B10)</f>
        <v>1605634.6999999997</v>
      </c>
      <c r="C11" s="10">
        <f>SUM(C6:C10)</f>
        <v>2279.35</v>
      </c>
      <c r="D11" s="10">
        <f>SUM(D6:D10)</f>
        <v>0</v>
      </c>
      <c r="E11" s="10">
        <f>SUM(E6:E10)</f>
        <v>0</v>
      </c>
    </row>
    <row r="12" spans="1:5" x14ac:dyDescent="0.2">
      <c r="A12" s="2"/>
      <c r="B12" s="2"/>
      <c r="C12" s="2"/>
      <c r="D12" s="2"/>
      <c r="E12" s="2"/>
    </row>
    <row r="13" spans="1:5" x14ac:dyDescent="0.2">
      <c r="A13" s="7">
        <v>11</v>
      </c>
      <c r="B13" s="5">
        <v>1425</v>
      </c>
      <c r="C13" s="5">
        <v>0</v>
      </c>
      <c r="D13" s="5">
        <v>0</v>
      </c>
      <c r="E13" s="5">
        <v>0</v>
      </c>
    </row>
    <row r="14" spans="1:5" x14ac:dyDescent="0.2">
      <c r="A14" s="7">
        <v>12</v>
      </c>
      <c r="B14" s="5">
        <f>15238.95+573933.94</f>
        <v>589172.8899999999</v>
      </c>
      <c r="C14" s="5">
        <v>0</v>
      </c>
      <c r="D14" s="5">
        <v>0</v>
      </c>
      <c r="E14" s="5">
        <v>0</v>
      </c>
    </row>
    <row r="15" spans="1:5" x14ac:dyDescent="0.2">
      <c r="A15" s="7">
        <v>13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2">
      <c r="A16" s="7">
        <v>14</v>
      </c>
      <c r="B16" s="5">
        <v>414127</v>
      </c>
      <c r="C16" s="5">
        <v>0</v>
      </c>
      <c r="D16" s="5">
        <v>0</v>
      </c>
      <c r="E16" s="5">
        <v>0</v>
      </c>
    </row>
    <row r="17" spans="1:5" x14ac:dyDescent="0.2">
      <c r="A17" s="8">
        <v>15</v>
      </c>
      <c r="B17" s="5">
        <v>0</v>
      </c>
      <c r="C17" s="6">
        <v>119282.71</v>
      </c>
      <c r="D17" s="6">
        <v>0</v>
      </c>
      <c r="E17" s="6">
        <v>0</v>
      </c>
    </row>
    <row r="18" spans="1:5" x14ac:dyDescent="0.2">
      <c r="A18" s="3" t="s">
        <v>8</v>
      </c>
      <c r="B18" s="10">
        <f>SUM(B13:B17)</f>
        <v>1004724.8899999999</v>
      </c>
      <c r="C18" s="10">
        <f>SUM(C13:C17)</f>
        <v>119282.71</v>
      </c>
      <c r="D18" s="10">
        <f>SUM(D13:D17)</f>
        <v>0</v>
      </c>
      <c r="E18" s="10">
        <f>SUM(E13:E17)</f>
        <v>0</v>
      </c>
    </row>
    <row r="19" spans="1:5" x14ac:dyDescent="0.2">
      <c r="A19" s="2"/>
      <c r="B19" s="2"/>
      <c r="C19" s="2"/>
      <c r="D19" s="2"/>
      <c r="E19" s="2"/>
    </row>
    <row r="20" spans="1:5" x14ac:dyDescent="0.2">
      <c r="A20" s="2">
        <v>18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2">
      <c r="A21" s="2">
        <v>19</v>
      </c>
      <c r="B21" s="5">
        <v>73819.58</v>
      </c>
      <c r="C21" s="5">
        <v>0</v>
      </c>
      <c r="D21" s="5">
        <v>0</v>
      </c>
      <c r="E21" s="5">
        <v>0</v>
      </c>
    </row>
    <row r="22" spans="1:5" x14ac:dyDescent="0.2">
      <c r="A22" s="2">
        <v>20</v>
      </c>
      <c r="B22" s="5">
        <f>170174.18+675191.1</f>
        <v>845365.28</v>
      </c>
      <c r="C22" s="5">
        <f>300+14483.07</f>
        <v>14783.07</v>
      </c>
      <c r="D22" s="5">
        <v>0</v>
      </c>
      <c r="E22" s="5">
        <v>0</v>
      </c>
    </row>
    <row r="23" spans="1:5" x14ac:dyDescent="0.2">
      <c r="A23" s="2">
        <v>21</v>
      </c>
      <c r="B23" s="5">
        <v>10577.12</v>
      </c>
      <c r="C23" s="5">
        <v>7963.8</v>
      </c>
      <c r="D23" s="5">
        <v>0</v>
      </c>
      <c r="E23" s="5">
        <v>0</v>
      </c>
    </row>
    <row r="24" spans="1:5" x14ac:dyDescent="0.2">
      <c r="A24" s="2">
        <v>22</v>
      </c>
      <c r="B24" s="5">
        <v>0</v>
      </c>
      <c r="C24" s="6">
        <v>538.54999999999995</v>
      </c>
      <c r="D24" s="6">
        <v>0</v>
      </c>
      <c r="E24" s="6">
        <v>0</v>
      </c>
    </row>
    <row r="25" spans="1:5" x14ac:dyDescent="0.2">
      <c r="A25" s="3" t="s">
        <v>8</v>
      </c>
      <c r="B25" s="10">
        <f>SUM(B20:B24)</f>
        <v>929761.98</v>
      </c>
      <c r="C25" s="10">
        <f>SUM(C20:C24)</f>
        <v>23285.42</v>
      </c>
      <c r="D25" s="10">
        <f>SUM(D20:D24)</f>
        <v>0</v>
      </c>
      <c r="E25" s="10">
        <f>SUM(E20:E24)</f>
        <v>0</v>
      </c>
    </row>
    <row r="26" spans="1:5" x14ac:dyDescent="0.2">
      <c r="A26" s="2"/>
      <c r="B26" s="2"/>
      <c r="C26" s="2"/>
      <c r="D26" s="2"/>
      <c r="E26" s="2"/>
    </row>
    <row r="27" spans="1:5" x14ac:dyDescent="0.2">
      <c r="A27" s="2">
        <v>25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2">
      <c r="A28" s="2">
        <v>26</v>
      </c>
      <c r="B28" s="5">
        <v>202179.81</v>
      </c>
      <c r="C28" s="5">
        <v>0</v>
      </c>
      <c r="D28" s="5">
        <v>0</v>
      </c>
      <c r="E28" s="5">
        <v>0</v>
      </c>
    </row>
    <row r="29" spans="1:5" x14ac:dyDescent="0.2">
      <c r="A29" s="2">
        <v>27</v>
      </c>
      <c r="B29" s="5">
        <v>689926.31</v>
      </c>
      <c r="C29" s="5">
        <v>17591.98</v>
      </c>
      <c r="D29" s="5">
        <v>0</v>
      </c>
      <c r="E29" s="5">
        <v>0</v>
      </c>
    </row>
    <row r="30" spans="1:5" x14ac:dyDescent="0.2">
      <c r="A30" s="2">
        <v>28</v>
      </c>
      <c r="B30" s="5">
        <f>710522.67+23702.06</f>
        <v>734224.7300000001</v>
      </c>
      <c r="C30" s="5">
        <v>58.62</v>
      </c>
      <c r="D30" s="5">
        <v>0</v>
      </c>
      <c r="E30" s="5">
        <v>0</v>
      </c>
    </row>
    <row r="31" spans="1:5" x14ac:dyDescent="0.2">
      <c r="A31" s="2">
        <v>29</v>
      </c>
      <c r="B31" s="5">
        <v>448586.47</v>
      </c>
      <c r="C31" s="6">
        <v>191527.94</v>
      </c>
      <c r="D31" s="6">
        <v>0</v>
      </c>
      <c r="E31" s="6">
        <v>0</v>
      </c>
    </row>
    <row r="32" spans="1:5" x14ac:dyDescent="0.2">
      <c r="A32" s="3" t="s">
        <v>8</v>
      </c>
      <c r="B32" s="10">
        <f>SUM(B27:B31)</f>
        <v>2074917.32</v>
      </c>
      <c r="C32" s="10">
        <f>SUM(C27:C31)</f>
        <v>209178.54</v>
      </c>
      <c r="D32" s="10">
        <f>SUM(D27:D31)</f>
        <v>0</v>
      </c>
      <c r="E32" s="10">
        <f>SUM(E27:E31)</f>
        <v>0</v>
      </c>
    </row>
    <row r="33" spans="1:11" x14ac:dyDescent="0.2">
      <c r="A33" s="2"/>
      <c r="B33" s="2"/>
      <c r="C33" s="2"/>
      <c r="D33" s="2"/>
      <c r="E33" s="2"/>
    </row>
    <row r="34" spans="1:11" x14ac:dyDescent="0.2">
      <c r="A34" s="2">
        <v>31</v>
      </c>
      <c r="B34" s="5">
        <v>27103.5</v>
      </c>
      <c r="C34" s="5">
        <v>0</v>
      </c>
      <c r="D34" s="5">
        <v>0</v>
      </c>
      <c r="E34" s="5">
        <v>0</v>
      </c>
    </row>
    <row r="35" spans="1:11" x14ac:dyDescent="0.2">
      <c r="A35" s="2"/>
      <c r="B35" s="5">
        <v>0</v>
      </c>
      <c r="C35" s="5">
        <v>0</v>
      </c>
      <c r="D35" s="5">
        <v>0</v>
      </c>
      <c r="E35" s="5">
        <v>0</v>
      </c>
    </row>
    <row r="36" spans="1:11" x14ac:dyDescent="0.2">
      <c r="A36" s="2"/>
      <c r="B36" s="5">
        <v>0</v>
      </c>
      <c r="C36" s="5">
        <v>0</v>
      </c>
      <c r="D36" s="5">
        <v>0</v>
      </c>
      <c r="E36" s="5">
        <v>0</v>
      </c>
    </row>
    <row r="37" spans="1:11" x14ac:dyDescent="0.2">
      <c r="A37" s="2"/>
      <c r="B37" s="5">
        <v>0</v>
      </c>
      <c r="C37" s="5">
        <v>0</v>
      </c>
      <c r="D37" s="5">
        <v>0</v>
      </c>
      <c r="E37" s="5">
        <v>0</v>
      </c>
    </row>
    <row r="38" spans="1:11" x14ac:dyDescent="0.2">
      <c r="A38" s="2"/>
      <c r="B38" s="5">
        <v>0</v>
      </c>
      <c r="C38" s="6">
        <v>0</v>
      </c>
      <c r="D38" s="6">
        <v>0</v>
      </c>
      <c r="E38" s="6">
        <v>0</v>
      </c>
    </row>
    <row r="39" spans="1:11" x14ac:dyDescent="0.2">
      <c r="A39" s="3" t="s">
        <v>8</v>
      </c>
      <c r="B39" s="10">
        <f>SUM(B34:B38)</f>
        <v>27103.5</v>
      </c>
      <c r="C39" s="10">
        <f>SUM(C34:C38)</f>
        <v>0</v>
      </c>
      <c r="D39" s="10">
        <f>SUM(D34:D38)</f>
        <v>0</v>
      </c>
      <c r="E39" s="10">
        <f>SUM(E34:E38)</f>
        <v>0</v>
      </c>
    </row>
    <row r="40" spans="1:11" x14ac:dyDescent="0.2">
      <c r="A40" s="2"/>
      <c r="B40" s="2"/>
      <c r="C40" s="2"/>
      <c r="D40" s="2"/>
      <c r="E40" s="2"/>
    </row>
    <row r="41" spans="1:11" x14ac:dyDescent="0.2">
      <c r="A41" s="2" t="s">
        <v>9</v>
      </c>
      <c r="B41" s="2">
        <v>0</v>
      </c>
      <c r="C41" s="2">
        <v>0</v>
      </c>
      <c r="D41" s="2">
        <v>0</v>
      </c>
      <c r="E41" s="2">
        <v>0</v>
      </c>
    </row>
    <row r="42" spans="1:11" x14ac:dyDescent="0.2">
      <c r="A42" s="2" t="s">
        <v>10</v>
      </c>
      <c r="B42" s="2">
        <v>0</v>
      </c>
      <c r="C42" s="9">
        <v>0</v>
      </c>
      <c r="D42" s="9">
        <v>0</v>
      </c>
      <c r="E42" s="9">
        <v>0</v>
      </c>
    </row>
    <row r="43" spans="1:11" x14ac:dyDescent="0.2">
      <c r="A43" s="2"/>
      <c r="B43" s="2"/>
      <c r="C43" s="2"/>
      <c r="D43" s="2"/>
      <c r="E43" s="2"/>
    </row>
    <row r="44" spans="1:11" x14ac:dyDescent="0.2">
      <c r="A44" s="3" t="s">
        <v>6</v>
      </c>
      <c r="B44" s="10">
        <f>+B11+B18+B25+B32+B39+B41+B42</f>
        <v>5642142.3899999997</v>
      </c>
      <c r="C44" s="10">
        <f>+C39+C32+C25+C18+C11</f>
        <v>354026.02</v>
      </c>
      <c r="D44" s="10">
        <f>+D39+D32+D25+D18+D11</f>
        <v>0</v>
      </c>
      <c r="E44" s="10">
        <f>+E39+E32+E25+E18+E11</f>
        <v>0</v>
      </c>
    </row>
    <row r="45" spans="1:11" x14ac:dyDescent="0.2">
      <c r="B45" s="1"/>
      <c r="C45" s="1"/>
      <c r="D45" s="1"/>
    </row>
    <row r="46" spans="1:11" x14ac:dyDescent="0.2">
      <c r="A46" s="26"/>
      <c r="B46" s="26"/>
      <c r="C46" s="26"/>
      <c r="D46" s="26"/>
    </row>
    <row r="47" spans="1:11" x14ac:dyDescent="0.2">
      <c r="A47" s="11" t="s">
        <v>21</v>
      </c>
      <c r="B47" s="9"/>
      <c r="C47" s="2"/>
      <c r="D47" s="2"/>
      <c r="I47"/>
      <c r="K47"/>
    </row>
    <row r="48" spans="1:11" x14ac:dyDescent="0.2">
      <c r="A48" s="9"/>
      <c r="B48" s="9"/>
      <c r="C48" s="2"/>
      <c r="D48" s="2"/>
      <c r="I48"/>
      <c r="K48"/>
    </row>
    <row r="49" spans="1:11" x14ac:dyDescent="0.2">
      <c r="A49" s="2"/>
      <c r="B49" s="2"/>
      <c r="C49" s="2"/>
      <c r="D49" s="2"/>
      <c r="I49"/>
      <c r="K49"/>
    </row>
    <row r="50" spans="1:11" x14ac:dyDescent="0.2">
      <c r="A50" s="4"/>
      <c r="B50" s="11" t="s">
        <v>47</v>
      </c>
      <c r="C50" s="11" t="s">
        <v>46</v>
      </c>
      <c r="D50" s="11" t="s">
        <v>48</v>
      </c>
      <c r="E50" s="11" t="s">
        <v>49</v>
      </c>
      <c r="I50"/>
      <c r="K50"/>
    </row>
    <row r="51" spans="1:11" x14ac:dyDescent="0.2">
      <c r="A51" s="2"/>
      <c r="B51" s="2"/>
      <c r="C51" s="2"/>
      <c r="D51" s="2"/>
      <c r="E51" s="2"/>
      <c r="I51"/>
      <c r="K51"/>
    </row>
    <row r="52" spans="1:11" x14ac:dyDescent="0.2">
      <c r="A52" s="2">
        <v>1</v>
      </c>
      <c r="B52" s="5">
        <v>2472.54</v>
      </c>
      <c r="C52" s="5">
        <f>23111.92+13091.25</f>
        <v>36203.17</v>
      </c>
      <c r="D52" s="5">
        <v>0</v>
      </c>
      <c r="E52" s="5">
        <v>0</v>
      </c>
      <c r="I52"/>
      <c r="K52"/>
    </row>
    <row r="53" spans="1:11" x14ac:dyDescent="0.2">
      <c r="A53" s="2">
        <v>2</v>
      </c>
      <c r="B53" s="5">
        <v>47860.47</v>
      </c>
      <c r="C53" s="5">
        <v>0</v>
      </c>
      <c r="D53" s="5">
        <v>0</v>
      </c>
      <c r="E53" s="5">
        <v>0</v>
      </c>
      <c r="I53"/>
      <c r="K53"/>
    </row>
    <row r="54" spans="1:11" x14ac:dyDescent="0.2">
      <c r="A54" s="2">
        <v>3</v>
      </c>
      <c r="B54" s="5">
        <v>316.73</v>
      </c>
      <c r="C54" s="5">
        <v>0</v>
      </c>
      <c r="D54" s="5">
        <v>0</v>
      </c>
      <c r="E54" s="5">
        <v>0</v>
      </c>
      <c r="I54"/>
      <c r="K54"/>
    </row>
    <row r="55" spans="1:11" x14ac:dyDescent="0.2">
      <c r="A55" s="7">
        <v>4</v>
      </c>
      <c r="B55" s="5">
        <v>892461.65</v>
      </c>
      <c r="C55" s="5">
        <v>0</v>
      </c>
      <c r="D55" s="5">
        <v>0</v>
      </c>
      <c r="E55" s="5">
        <v>0</v>
      </c>
      <c r="I55"/>
      <c r="K55"/>
    </row>
    <row r="56" spans="1:11" x14ac:dyDescent="0.2">
      <c r="A56" s="7">
        <v>5</v>
      </c>
      <c r="B56" s="6">
        <v>131818.60999999999</v>
      </c>
      <c r="C56" s="6">
        <v>585.17999999999995</v>
      </c>
      <c r="D56" s="6">
        <v>0</v>
      </c>
      <c r="E56" s="6">
        <v>0</v>
      </c>
      <c r="I56"/>
      <c r="K56"/>
    </row>
    <row r="57" spans="1:11" x14ac:dyDescent="0.2">
      <c r="A57" s="3" t="s">
        <v>8</v>
      </c>
      <c r="B57" s="10">
        <f>SUM(B52:B56)</f>
        <v>1074930</v>
      </c>
      <c r="C57" s="10">
        <f>SUM(C52:C56)</f>
        <v>36788.35</v>
      </c>
      <c r="D57" s="10">
        <f>SUM(D52:D56)</f>
        <v>0</v>
      </c>
      <c r="E57" s="10">
        <f>SUM(E52:E56)</f>
        <v>0</v>
      </c>
      <c r="I57"/>
      <c r="K57"/>
    </row>
    <row r="58" spans="1:11" x14ac:dyDescent="0.2">
      <c r="A58" s="2"/>
      <c r="B58" s="2"/>
      <c r="C58" s="2"/>
      <c r="D58" s="2"/>
      <c r="E58" s="2"/>
      <c r="I58"/>
      <c r="K58"/>
    </row>
    <row r="59" spans="1:11" x14ac:dyDescent="0.2">
      <c r="A59" s="7">
        <v>8</v>
      </c>
      <c r="B59" s="5">
        <v>0</v>
      </c>
      <c r="C59" s="5">
        <v>68535.009999999995</v>
      </c>
      <c r="D59" s="5">
        <v>0</v>
      </c>
      <c r="E59" s="5">
        <v>0</v>
      </c>
      <c r="I59"/>
      <c r="K59"/>
    </row>
    <row r="60" spans="1:11" x14ac:dyDescent="0.2">
      <c r="A60" s="7">
        <v>9</v>
      </c>
      <c r="B60" s="5">
        <f>50000+22214.85</f>
        <v>72214.850000000006</v>
      </c>
      <c r="C60" s="5">
        <v>0</v>
      </c>
      <c r="D60" s="5">
        <v>0</v>
      </c>
      <c r="E60" s="5">
        <v>0</v>
      </c>
      <c r="I60"/>
      <c r="K60"/>
    </row>
    <row r="61" spans="1:11" x14ac:dyDescent="0.2">
      <c r="A61" s="7">
        <v>10</v>
      </c>
      <c r="B61" s="5">
        <v>589956.56000000006</v>
      </c>
      <c r="C61" s="5">
        <v>369.89</v>
      </c>
      <c r="D61" s="5">
        <v>0</v>
      </c>
      <c r="E61" s="5">
        <v>0</v>
      </c>
      <c r="I61"/>
      <c r="K61"/>
    </row>
    <row r="62" spans="1:11" x14ac:dyDescent="0.2">
      <c r="A62" s="7">
        <v>11</v>
      </c>
      <c r="B62" s="5">
        <v>2022.87</v>
      </c>
      <c r="C62" s="5">
        <v>0</v>
      </c>
      <c r="D62" s="5">
        <v>0</v>
      </c>
      <c r="E62" s="5">
        <v>0</v>
      </c>
      <c r="I62"/>
      <c r="K62"/>
    </row>
    <row r="63" spans="1:11" x14ac:dyDescent="0.2">
      <c r="A63" s="8">
        <v>12</v>
      </c>
      <c r="B63" s="5">
        <v>317604.74</v>
      </c>
      <c r="C63" s="6">
        <v>234501.91</v>
      </c>
      <c r="D63" s="6">
        <v>0</v>
      </c>
      <c r="E63" s="6">
        <v>0</v>
      </c>
      <c r="I63"/>
      <c r="K63"/>
    </row>
    <row r="64" spans="1:11" x14ac:dyDescent="0.2">
      <c r="A64" s="3" t="s">
        <v>8</v>
      </c>
      <c r="B64" s="10">
        <f>SUM(B59:B63)</f>
        <v>981799.02</v>
      </c>
      <c r="C64" s="10">
        <f>SUM(C59:C63)</f>
        <v>303406.81</v>
      </c>
      <c r="D64" s="10">
        <f>SUM(D59:D63)</f>
        <v>0</v>
      </c>
      <c r="E64" s="10">
        <f>SUM(E59:E63)</f>
        <v>0</v>
      </c>
      <c r="I64"/>
      <c r="K64"/>
    </row>
    <row r="65" spans="1:11" x14ac:dyDescent="0.2">
      <c r="A65" s="2"/>
      <c r="B65" s="2"/>
      <c r="C65" s="2"/>
      <c r="D65" s="2"/>
      <c r="E65" s="2"/>
      <c r="I65"/>
      <c r="K65"/>
    </row>
    <row r="66" spans="1:11" x14ac:dyDescent="0.2">
      <c r="A66" s="2">
        <v>15</v>
      </c>
      <c r="B66" s="5">
        <v>0</v>
      </c>
      <c r="C66" s="5">
        <v>0</v>
      </c>
      <c r="D66" s="5">
        <v>0</v>
      </c>
      <c r="E66" s="5">
        <v>0</v>
      </c>
      <c r="I66"/>
      <c r="K66"/>
    </row>
    <row r="67" spans="1:11" x14ac:dyDescent="0.2">
      <c r="A67" s="2">
        <v>16</v>
      </c>
      <c r="B67" s="5">
        <v>432813.23</v>
      </c>
      <c r="C67" s="5">
        <v>0</v>
      </c>
      <c r="D67" s="5">
        <v>0</v>
      </c>
      <c r="E67" s="5">
        <v>0</v>
      </c>
      <c r="I67"/>
      <c r="K67"/>
    </row>
    <row r="68" spans="1:11" x14ac:dyDescent="0.2">
      <c r="A68" s="2">
        <v>17</v>
      </c>
      <c r="B68" s="5">
        <v>273354.65999999997</v>
      </c>
      <c r="C68" s="5">
        <v>323.39999999999998</v>
      </c>
      <c r="D68" s="5">
        <v>0</v>
      </c>
      <c r="E68" s="5">
        <v>0</v>
      </c>
      <c r="I68"/>
      <c r="K68"/>
    </row>
    <row r="69" spans="1:11" x14ac:dyDescent="0.2">
      <c r="A69" s="2">
        <v>18</v>
      </c>
      <c r="B69" s="5">
        <v>1214043.46</v>
      </c>
      <c r="C69" s="5">
        <v>27926.11</v>
      </c>
      <c r="D69" s="5">
        <v>0</v>
      </c>
      <c r="E69" s="5">
        <v>0</v>
      </c>
      <c r="I69"/>
      <c r="K69"/>
    </row>
    <row r="70" spans="1:11" x14ac:dyDescent="0.2">
      <c r="A70" s="2">
        <v>19</v>
      </c>
      <c r="B70" s="5">
        <v>63303.23</v>
      </c>
      <c r="C70" s="6">
        <v>0</v>
      </c>
      <c r="D70" s="6">
        <v>0</v>
      </c>
      <c r="E70" s="6">
        <v>0</v>
      </c>
      <c r="I70"/>
      <c r="K70"/>
    </row>
    <row r="71" spans="1:11" x14ac:dyDescent="0.2">
      <c r="A71" s="3" t="s">
        <v>8</v>
      </c>
      <c r="B71" s="10">
        <f>SUM(B66:B70)</f>
        <v>1983514.5799999998</v>
      </c>
      <c r="C71" s="10">
        <f>SUM(C66:C70)</f>
        <v>28249.510000000002</v>
      </c>
      <c r="D71" s="10">
        <f>SUM(D66:D70)</f>
        <v>0</v>
      </c>
      <c r="E71" s="10">
        <f>SUM(E66:E70)</f>
        <v>0</v>
      </c>
      <c r="I71"/>
      <c r="K71"/>
    </row>
    <row r="72" spans="1:11" x14ac:dyDescent="0.2">
      <c r="A72" s="2"/>
      <c r="B72" s="2"/>
      <c r="C72" s="2"/>
      <c r="D72" s="2"/>
      <c r="E72" s="2"/>
      <c r="I72"/>
      <c r="K72"/>
    </row>
    <row r="73" spans="1:11" x14ac:dyDescent="0.2">
      <c r="A73" s="2">
        <v>22</v>
      </c>
      <c r="B73" s="5">
        <v>186700.12</v>
      </c>
      <c r="C73" s="5">
        <v>72912.240000000005</v>
      </c>
      <c r="D73" s="5">
        <v>0</v>
      </c>
      <c r="E73" s="5">
        <v>0</v>
      </c>
      <c r="I73"/>
      <c r="K73"/>
    </row>
    <row r="74" spans="1:11" x14ac:dyDescent="0.2">
      <c r="A74" s="2">
        <v>23</v>
      </c>
      <c r="B74" s="5">
        <v>0</v>
      </c>
      <c r="C74" s="5">
        <v>0</v>
      </c>
      <c r="D74" s="5">
        <v>0</v>
      </c>
      <c r="E74" s="5">
        <v>0</v>
      </c>
      <c r="I74"/>
      <c r="K74"/>
    </row>
    <row r="75" spans="1:11" x14ac:dyDescent="0.2">
      <c r="A75" s="2">
        <v>24</v>
      </c>
      <c r="B75" s="5">
        <v>513064.1</v>
      </c>
      <c r="C75" s="5">
        <v>3637</v>
      </c>
      <c r="D75" s="5">
        <v>0</v>
      </c>
      <c r="E75" s="5">
        <v>0</v>
      </c>
      <c r="I75"/>
      <c r="K75"/>
    </row>
    <row r="76" spans="1:11" x14ac:dyDescent="0.2">
      <c r="A76" s="2">
        <v>25</v>
      </c>
      <c r="B76" s="5">
        <f>587523.46</f>
        <v>587523.46</v>
      </c>
      <c r="C76" s="5">
        <v>0</v>
      </c>
      <c r="D76" s="5">
        <v>0</v>
      </c>
      <c r="E76" s="5">
        <v>0</v>
      </c>
      <c r="I76"/>
      <c r="K76"/>
    </row>
    <row r="77" spans="1:11" x14ac:dyDescent="0.2">
      <c r="A77" s="2">
        <v>26</v>
      </c>
      <c r="B77" s="5">
        <v>0</v>
      </c>
      <c r="C77" s="5">
        <v>0</v>
      </c>
      <c r="D77" s="6">
        <v>0</v>
      </c>
      <c r="E77" s="6">
        <v>0</v>
      </c>
      <c r="I77"/>
      <c r="K77"/>
    </row>
    <row r="78" spans="1:11" x14ac:dyDescent="0.2">
      <c r="A78" s="3" t="s">
        <v>8</v>
      </c>
      <c r="B78" s="10">
        <f>SUM(B73:B77)</f>
        <v>1287287.68</v>
      </c>
      <c r="C78" s="10">
        <f>SUM(C73:C77)</f>
        <v>76549.240000000005</v>
      </c>
      <c r="D78" s="10">
        <f>SUM(D73:D77)</f>
        <v>0</v>
      </c>
      <c r="E78" s="10">
        <f>SUM(E73:E77)</f>
        <v>0</v>
      </c>
      <c r="I78"/>
      <c r="K78"/>
    </row>
    <row r="79" spans="1:11" x14ac:dyDescent="0.2">
      <c r="A79" s="2"/>
      <c r="B79" s="2"/>
      <c r="C79" s="2"/>
      <c r="D79" s="2"/>
      <c r="E79" s="2"/>
      <c r="I79"/>
      <c r="K79"/>
    </row>
    <row r="80" spans="1:11" x14ac:dyDescent="0.2">
      <c r="A80" s="2">
        <v>29</v>
      </c>
      <c r="B80" s="5">
        <f>28285.76+18868.78</f>
        <v>47154.539999999994</v>
      </c>
      <c r="C80" s="5">
        <v>257447</v>
      </c>
      <c r="D80" s="5">
        <v>0</v>
      </c>
      <c r="E80" s="5">
        <v>0</v>
      </c>
      <c r="I80"/>
      <c r="K80"/>
    </row>
    <row r="81" spans="1:11" x14ac:dyDescent="0.2">
      <c r="A81" s="2"/>
      <c r="B81" s="5">
        <v>0</v>
      </c>
      <c r="C81" s="5">
        <v>0</v>
      </c>
      <c r="D81" s="5">
        <v>0</v>
      </c>
      <c r="E81" s="5">
        <v>0</v>
      </c>
      <c r="I81"/>
      <c r="K81"/>
    </row>
    <row r="82" spans="1:11" x14ac:dyDescent="0.2">
      <c r="A82" s="2"/>
      <c r="B82" s="5">
        <v>0</v>
      </c>
      <c r="C82" s="5">
        <v>0</v>
      </c>
      <c r="D82" s="5">
        <v>0</v>
      </c>
      <c r="E82" s="5">
        <v>0</v>
      </c>
      <c r="I82"/>
      <c r="K82"/>
    </row>
    <row r="83" spans="1:11" x14ac:dyDescent="0.2">
      <c r="A83" s="2"/>
      <c r="B83" s="5">
        <v>0</v>
      </c>
      <c r="C83" s="5">
        <v>0</v>
      </c>
      <c r="D83" s="5">
        <v>0</v>
      </c>
      <c r="E83" s="5">
        <v>0</v>
      </c>
      <c r="I83"/>
      <c r="K83"/>
    </row>
    <row r="84" spans="1:11" x14ac:dyDescent="0.2">
      <c r="A84" s="2"/>
      <c r="B84" s="5">
        <v>0</v>
      </c>
      <c r="C84" s="6">
        <v>0</v>
      </c>
      <c r="D84" s="6">
        <v>0</v>
      </c>
      <c r="E84" s="6">
        <v>0</v>
      </c>
      <c r="I84"/>
      <c r="K84"/>
    </row>
    <row r="85" spans="1:11" x14ac:dyDescent="0.2">
      <c r="A85" s="3" t="s">
        <v>8</v>
      </c>
      <c r="B85" s="10">
        <f>SUM(B80:B84)</f>
        <v>47154.539999999994</v>
      </c>
      <c r="C85" s="10">
        <f>SUM(C80:C84)</f>
        <v>257447</v>
      </c>
      <c r="D85" s="10">
        <f>SUM(D80:D84)</f>
        <v>0</v>
      </c>
      <c r="E85" s="10">
        <f>SUM(E80:E84)</f>
        <v>0</v>
      </c>
      <c r="I85"/>
      <c r="K85"/>
    </row>
    <row r="86" spans="1:11" x14ac:dyDescent="0.2">
      <c r="A86" s="2"/>
      <c r="B86" s="2"/>
      <c r="C86" s="2"/>
      <c r="D86" s="2"/>
      <c r="E86" s="2"/>
      <c r="I86"/>
      <c r="K86"/>
    </row>
    <row r="87" spans="1:11" x14ac:dyDescent="0.2">
      <c r="A87" s="2" t="s">
        <v>9</v>
      </c>
      <c r="B87" s="2">
        <v>0</v>
      </c>
      <c r="C87" s="2">
        <v>0</v>
      </c>
      <c r="D87" s="2">
        <v>0</v>
      </c>
      <c r="E87" s="2">
        <v>0</v>
      </c>
      <c r="I87"/>
      <c r="K87"/>
    </row>
    <row r="88" spans="1:11" x14ac:dyDescent="0.2">
      <c r="A88" s="2" t="s">
        <v>10</v>
      </c>
      <c r="B88" s="2">
        <v>-1526</v>
      </c>
      <c r="C88" s="9">
        <v>0</v>
      </c>
      <c r="D88" s="9">
        <v>0</v>
      </c>
      <c r="E88" s="9">
        <v>0</v>
      </c>
      <c r="I88"/>
      <c r="K88"/>
    </row>
    <row r="89" spans="1:11" x14ac:dyDescent="0.2">
      <c r="A89" s="2"/>
      <c r="B89" s="2"/>
      <c r="C89" s="2"/>
      <c r="D89" s="2"/>
      <c r="E89" s="2"/>
      <c r="I89"/>
      <c r="K89"/>
    </row>
    <row r="90" spans="1:11" x14ac:dyDescent="0.2">
      <c r="A90" s="3" t="s">
        <v>6</v>
      </c>
      <c r="B90" s="10">
        <f>+B57+B64+B71+B78+B85+B87+B88</f>
        <v>5373159.8199999994</v>
      </c>
      <c r="C90" s="10">
        <f>+C85+C78+C71+C64+C57</f>
        <v>702440.91</v>
      </c>
      <c r="D90" s="10">
        <f>+D85+D78+D71+D64+D57</f>
        <v>0</v>
      </c>
      <c r="E90" s="10">
        <f>+E85+E78+E71+E64+E57</f>
        <v>0</v>
      </c>
      <c r="I90"/>
      <c r="K90"/>
    </row>
    <row r="91" spans="1:11" x14ac:dyDescent="0.2">
      <c r="B91" s="1"/>
      <c r="C91" s="1"/>
      <c r="D91" s="1"/>
      <c r="I91"/>
      <c r="K91"/>
    </row>
    <row r="92" spans="1:11" x14ac:dyDescent="0.2">
      <c r="A92" s="26"/>
      <c r="B92" s="26"/>
      <c r="C92" s="26"/>
      <c r="D92" s="26"/>
      <c r="I92"/>
      <c r="K92"/>
    </row>
    <row r="93" spans="1:11" x14ac:dyDescent="0.2">
      <c r="A93" s="11" t="s">
        <v>22</v>
      </c>
      <c r="B93" s="9"/>
      <c r="C93" s="2"/>
      <c r="D93" s="2"/>
      <c r="I93"/>
      <c r="K93"/>
    </row>
    <row r="94" spans="1:11" x14ac:dyDescent="0.2">
      <c r="A94" s="9"/>
      <c r="B94" s="9"/>
      <c r="C94" s="2"/>
      <c r="D94" s="2"/>
      <c r="I94"/>
      <c r="K94"/>
    </row>
    <row r="95" spans="1:11" x14ac:dyDescent="0.2">
      <c r="A95" s="2"/>
      <c r="B95" s="2"/>
      <c r="C95" s="2"/>
      <c r="D95" s="2"/>
      <c r="I95"/>
      <c r="K95"/>
    </row>
    <row r="96" spans="1:11" x14ac:dyDescent="0.2">
      <c r="A96" s="4"/>
      <c r="B96" s="11" t="s">
        <v>47</v>
      </c>
      <c r="C96" s="11" t="s">
        <v>46</v>
      </c>
      <c r="D96" s="11" t="s">
        <v>48</v>
      </c>
      <c r="E96" s="11" t="s">
        <v>49</v>
      </c>
      <c r="I96"/>
      <c r="K96"/>
    </row>
    <row r="97" spans="1:11" x14ac:dyDescent="0.2">
      <c r="A97" s="2"/>
      <c r="B97" s="2"/>
      <c r="C97" s="2"/>
      <c r="D97" s="2"/>
      <c r="E97" s="2"/>
      <c r="I97"/>
      <c r="K97"/>
    </row>
    <row r="98" spans="1:11" x14ac:dyDescent="0.2">
      <c r="A98" s="2"/>
      <c r="B98" s="5">
        <v>0</v>
      </c>
      <c r="C98" s="5">
        <v>0</v>
      </c>
      <c r="D98" s="5">
        <v>0</v>
      </c>
      <c r="E98" s="5">
        <v>0</v>
      </c>
      <c r="I98"/>
      <c r="K98"/>
    </row>
    <row r="99" spans="1:11" x14ac:dyDescent="0.2">
      <c r="A99" s="2">
        <v>1</v>
      </c>
      <c r="B99" s="5">
        <f>543720.21+833.6</f>
        <v>544553.80999999994</v>
      </c>
      <c r="C99" s="5">
        <v>0</v>
      </c>
      <c r="D99" s="5">
        <v>0</v>
      </c>
      <c r="E99" s="5">
        <v>0</v>
      </c>
      <c r="I99"/>
      <c r="K99"/>
    </row>
    <row r="100" spans="1:11" x14ac:dyDescent="0.2">
      <c r="A100" s="2">
        <v>2</v>
      </c>
      <c r="B100" s="5">
        <v>25703.24</v>
      </c>
      <c r="C100" s="5">
        <v>0</v>
      </c>
      <c r="D100" s="5">
        <v>0</v>
      </c>
      <c r="E100" s="5">
        <v>0</v>
      </c>
      <c r="I100"/>
      <c r="K100"/>
    </row>
    <row r="101" spans="1:11" x14ac:dyDescent="0.2">
      <c r="A101" s="7">
        <v>3</v>
      </c>
      <c r="B101" s="5">
        <v>182540.74</v>
      </c>
      <c r="C101" s="5">
        <f>24363.58+25015.25+242.98</f>
        <v>49621.810000000005</v>
      </c>
      <c r="D101" s="5">
        <v>0</v>
      </c>
      <c r="E101" s="5">
        <v>0</v>
      </c>
      <c r="I101"/>
      <c r="K101"/>
    </row>
    <row r="102" spans="1:11" x14ac:dyDescent="0.2">
      <c r="A102" s="7">
        <v>4</v>
      </c>
      <c r="B102" s="6">
        <v>254708.09</v>
      </c>
      <c r="C102" s="6">
        <v>627.66999999999996</v>
      </c>
      <c r="D102" s="6">
        <v>0</v>
      </c>
      <c r="E102" s="6">
        <v>0</v>
      </c>
      <c r="I102"/>
      <c r="K102"/>
    </row>
    <row r="103" spans="1:11" x14ac:dyDescent="0.2">
      <c r="A103" s="3" t="s">
        <v>8</v>
      </c>
      <c r="B103" s="10">
        <f>SUM(B98:B102)</f>
        <v>1007505.8799999999</v>
      </c>
      <c r="C103" s="10">
        <f>SUM(C98:C102)</f>
        <v>50249.48</v>
      </c>
      <c r="D103" s="10">
        <f>SUM(D98:D102)</f>
        <v>0</v>
      </c>
      <c r="E103" s="10">
        <f>SUM(E98:E102)</f>
        <v>0</v>
      </c>
      <c r="I103"/>
      <c r="K103"/>
    </row>
    <row r="104" spans="1:11" x14ac:dyDescent="0.2">
      <c r="A104" s="2"/>
      <c r="B104" s="2"/>
      <c r="C104" s="2"/>
      <c r="D104" s="2"/>
      <c r="E104" s="2"/>
      <c r="I104"/>
      <c r="K104"/>
    </row>
    <row r="105" spans="1:11" x14ac:dyDescent="0.2">
      <c r="A105" s="7">
        <v>7</v>
      </c>
      <c r="B105" s="5">
        <v>27816.89</v>
      </c>
      <c r="C105" s="5">
        <v>0</v>
      </c>
      <c r="D105" s="5">
        <v>0</v>
      </c>
      <c r="E105" s="5">
        <v>0</v>
      </c>
      <c r="I105"/>
      <c r="K105"/>
    </row>
    <row r="106" spans="1:11" x14ac:dyDescent="0.2">
      <c r="A106" s="7">
        <v>8</v>
      </c>
      <c r="B106" s="5">
        <f>30868.57+6842.96</f>
        <v>37711.53</v>
      </c>
      <c r="C106" s="5">
        <v>194.8</v>
      </c>
      <c r="D106" s="5">
        <v>0</v>
      </c>
      <c r="E106" s="5">
        <v>0</v>
      </c>
      <c r="I106"/>
      <c r="K106"/>
    </row>
    <row r="107" spans="1:11" x14ac:dyDescent="0.2">
      <c r="A107" s="7">
        <v>9</v>
      </c>
      <c r="B107" s="5">
        <f>21286.94+23183.57</f>
        <v>44470.509999999995</v>
      </c>
      <c r="C107" s="5">
        <v>64710.07</v>
      </c>
      <c r="D107" s="5">
        <v>0</v>
      </c>
      <c r="E107" s="5">
        <v>0</v>
      </c>
      <c r="I107"/>
      <c r="K107"/>
    </row>
    <row r="108" spans="1:11" x14ac:dyDescent="0.2">
      <c r="A108" s="7">
        <v>10</v>
      </c>
      <c r="B108" s="5">
        <v>370729.49</v>
      </c>
      <c r="C108" s="5">
        <v>0</v>
      </c>
      <c r="D108" s="5">
        <v>0</v>
      </c>
      <c r="E108" s="5">
        <v>0</v>
      </c>
      <c r="I108"/>
      <c r="K108"/>
    </row>
    <row r="109" spans="1:11" x14ac:dyDescent="0.2">
      <c r="A109" s="8">
        <v>11</v>
      </c>
      <c r="B109" s="5">
        <f>72000+100000+563377.52</f>
        <v>735377.52</v>
      </c>
      <c r="C109" s="6">
        <v>0</v>
      </c>
      <c r="D109" s="6">
        <v>0</v>
      </c>
      <c r="E109" s="6">
        <v>0</v>
      </c>
      <c r="I109"/>
      <c r="K109"/>
    </row>
    <row r="110" spans="1:11" x14ac:dyDescent="0.2">
      <c r="A110" s="3" t="s">
        <v>8</v>
      </c>
      <c r="B110" s="10">
        <f>SUM(B105:B109)</f>
        <v>1216105.94</v>
      </c>
      <c r="C110" s="10">
        <f>SUM(C105:C109)</f>
        <v>64904.87</v>
      </c>
      <c r="D110" s="10">
        <f>SUM(D105:D109)</f>
        <v>0</v>
      </c>
      <c r="E110" s="10">
        <f>SUM(E105:E109)</f>
        <v>0</v>
      </c>
      <c r="I110"/>
      <c r="K110"/>
    </row>
    <row r="111" spans="1:11" x14ac:dyDescent="0.2">
      <c r="A111" s="2"/>
      <c r="B111" s="2"/>
      <c r="C111" s="2"/>
      <c r="D111" s="2"/>
      <c r="E111" s="2"/>
      <c r="I111"/>
      <c r="K111"/>
    </row>
    <row r="112" spans="1:11" x14ac:dyDescent="0.2">
      <c r="A112" s="2">
        <v>14</v>
      </c>
      <c r="B112" s="5">
        <v>150301.18</v>
      </c>
      <c r="C112" s="5">
        <v>475</v>
      </c>
      <c r="D112" s="5">
        <v>0</v>
      </c>
      <c r="E112" s="5">
        <v>0</v>
      </c>
      <c r="I112"/>
      <c r="K112"/>
    </row>
    <row r="113" spans="1:11" x14ac:dyDescent="0.2">
      <c r="A113" s="2">
        <v>15</v>
      </c>
      <c r="B113" s="5">
        <v>757392.13</v>
      </c>
      <c r="C113" s="5">
        <v>298662.21999999997</v>
      </c>
      <c r="D113" s="5">
        <v>0</v>
      </c>
      <c r="E113" s="5">
        <v>0</v>
      </c>
      <c r="I113"/>
      <c r="K113"/>
    </row>
    <row r="114" spans="1:11" x14ac:dyDescent="0.2">
      <c r="A114" s="2">
        <v>16</v>
      </c>
      <c r="B114" s="5">
        <f>103790.24-9340.38+28500</f>
        <v>122949.86</v>
      </c>
      <c r="C114" s="5">
        <v>0</v>
      </c>
      <c r="D114" s="5">
        <v>0</v>
      </c>
      <c r="E114" s="5">
        <v>0</v>
      </c>
      <c r="I114"/>
      <c r="K114"/>
    </row>
    <row r="115" spans="1:11" x14ac:dyDescent="0.2">
      <c r="A115" s="2">
        <v>17</v>
      </c>
      <c r="B115" s="5">
        <v>170852.27</v>
      </c>
      <c r="C115" s="5">
        <v>0</v>
      </c>
      <c r="D115" s="5">
        <v>0</v>
      </c>
      <c r="E115" s="5">
        <v>0</v>
      </c>
      <c r="I115"/>
      <c r="K115"/>
    </row>
    <row r="116" spans="1:11" x14ac:dyDescent="0.2">
      <c r="A116" s="2">
        <v>18</v>
      </c>
      <c r="B116" s="5">
        <v>907475.67</v>
      </c>
      <c r="C116" s="6">
        <v>702.48</v>
      </c>
      <c r="D116" s="6">
        <v>0</v>
      </c>
      <c r="E116" s="6">
        <v>0</v>
      </c>
      <c r="I116"/>
      <c r="K116"/>
    </row>
    <row r="117" spans="1:11" x14ac:dyDescent="0.2">
      <c r="A117" s="3" t="s">
        <v>8</v>
      </c>
      <c r="B117" s="10">
        <f>SUM(B112:B116)</f>
        <v>2108971.11</v>
      </c>
      <c r="C117" s="10">
        <f>SUM(C112:C116)</f>
        <v>299839.69999999995</v>
      </c>
      <c r="D117" s="10">
        <f>SUM(D112:D116)</f>
        <v>0</v>
      </c>
      <c r="E117" s="10">
        <f>SUM(E112:E116)</f>
        <v>0</v>
      </c>
      <c r="I117"/>
      <c r="K117"/>
    </row>
    <row r="118" spans="1:11" x14ac:dyDescent="0.2">
      <c r="A118" s="2"/>
      <c r="B118" s="2"/>
      <c r="C118" s="2"/>
      <c r="D118" s="2"/>
      <c r="E118" s="2"/>
      <c r="I118"/>
      <c r="K118"/>
    </row>
    <row r="119" spans="1:11" x14ac:dyDescent="0.2">
      <c r="A119" s="2">
        <v>21</v>
      </c>
      <c r="B119" s="5">
        <v>0</v>
      </c>
      <c r="C119" s="5">
        <v>0</v>
      </c>
      <c r="D119" s="5">
        <v>0</v>
      </c>
      <c r="E119" s="5">
        <v>0</v>
      </c>
      <c r="I119"/>
      <c r="K119"/>
    </row>
    <row r="120" spans="1:11" x14ac:dyDescent="0.2">
      <c r="A120" s="2">
        <v>22</v>
      </c>
      <c r="B120" s="5">
        <v>416792.77</v>
      </c>
      <c r="C120" s="5">
        <f>12.6+16984.7+24414.31</f>
        <v>41411.61</v>
      </c>
      <c r="D120" s="5">
        <v>0</v>
      </c>
      <c r="E120" s="5">
        <v>0</v>
      </c>
      <c r="I120"/>
      <c r="K120"/>
    </row>
    <row r="121" spans="1:11" x14ac:dyDescent="0.2">
      <c r="A121" s="2">
        <v>23</v>
      </c>
      <c r="B121" s="5">
        <v>0</v>
      </c>
      <c r="C121" s="5">
        <v>45360</v>
      </c>
      <c r="D121" s="5">
        <v>0</v>
      </c>
      <c r="E121" s="5">
        <v>0</v>
      </c>
      <c r="I121"/>
      <c r="K121"/>
    </row>
    <row r="122" spans="1:11" x14ac:dyDescent="0.2">
      <c r="A122" s="2">
        <v>24</v>
      </c>
      <c r="B122" s="5">
        <v>122705.1</v>
      </c>
      <c r="C122" s="5">
        <v>0</v>
      </c>
      <c r="D122" s="5">
        <v>0</v>
      </c>
      <c r="E122" s="5">
        <v>0</v>
      </c>
      <c r="I122"/>
      <c r="K122"/>
    </row>
    <row r="123" spans="1:11" x14ac:dyDescent="0.2">
      <c r="A123" s="2">
        <v>25</v>
      </c>
      <c r="B123" s="5">
        <v>0</v>
      </c>
      <c r="C123" s="6">
        <v>137.05000000000001</v>
      </c>
      <c r="D123" s="6">
        <v>0</v>
      </c>
      <c r="E123" s="6">
        <v>0</v>
      </c>
      <c r="I123"/>
      <c r="K123"/>
    </row>
    <row r="124" spans="1:11" x14ac:dyDescent="0.2">
      <c r="A124" s="3" t="s">
        <v>8</v>
      </c>
      <c r="B124" s="10">
        <f>SUM(B119:B123)</f>
        <v>539497.87</v>
      </c>
      <c r="C124" s="10">
        <f>SUM(C119:C123)</f>
        <v>86908.66</v>
      </c>
      <c r="D124" s="10">
        <f>SUM(D119:D123)</f>
        <v>0</v>
      </c>
      <c r="E124" s="10">
        <f>SUM(E119:E123)</f>
        <v>0</v>
      </c>
      <c r="I124"/>
      <c r="K124"/>
    </row>
    <row r="125" spans="1:11" x14ac:dyDescent="0.2">
      <c r="A125" s="2"/>
      <c r="B125" s="2"/>
      <c r="C125" s="2"/>
      <c r="D125" s="2"/>
      <c r="E125" s="2"/>
      <c r="I125"/>
      <c r="K125"/>
    </row>
    <row r="126" spans="1:11" x14ac:dyDescent="0.2">
      <c r="A126" s="2">
        <v>28</v>
      </c>
      <c r="B126" s="5">
        <f>10124.34-10124.34</f>
        <v>0</v>
      </c>
      <c r="C126" s="5">
        <v>0</v>
      </c>
      <c r="D126" s="5">
        <v>0</v>
      </c>
      <c r="E126" s="5">
        <v>0</v>
      </c>
      <c r="I126"/>
      <c r="K126"/>
    </row>
    <row r="127" spans="1:11" x14ac:dyDescent="0.2">
      <c r="A127" s="2">
        <v>29</v>
      </c>
      <c r="B127" s="5">
        <f>1226382.43+567936.37</f>
        <v>1794318.7999999998</v>
      </c>
      <c r="C127" s="5">
        <v>0</v>
      </c>
      <c r="D127" s="5">
        <v>0</v>
      </c>
      <c r="E127" s="5">
        <v>0</v>
      </c>
      <c r="I127"/>
      <c r="K127"/>
    </row>
    <row r="128" spans="1:11" x14ac:dyDescent="0.2">
      <c r="A128" s="2">
        <v>30</v>
      </c>
      <c r="B128" s="5">
        <v>1779.38</v>
      </c>
      <c r="C128" s="5">
        <v>0</v>
      </c>
      <c r="D128" s="5">
        <v>0</v>
      </c>
      <c r="E128" s="5">
        <v>0</v>
      </c>
      <c r="I128"/>
      <c r="K128"/>
    </row>
    <row r="129" spans="1:11" x14ac:dyDescent="0.2">
      <c r="A129" s="2">
        <v>31</v>
      </c>
      <c r="B129" s="5">
        <f>647908.27+218968.27+24601.21</f>
        <v>891477.75</v>
      </c>
      <c r="C129" s="5">
        <f>23069.14+309713.3</f>
        <v>332782.44</v>
      </c>
      <c r="D129" s="5">
        <v>0</v>
      </c>
      <c r="E129" s="5">
        <v>0</v>
      </c>
      <c r="I129"/>
      <c r="K129"/>
    </row>
    <row r="130" spans="1:11" x14ac:dyDescent="0.2">
      <c r="A130" s="2"/>
      <c r="B130" s="5">
        <v>0</v>
      </c>
      <c r="C130" s="6">
        <v>0</v>
      </c>
      <c r="D130" s="6">
        <v>0</v>
      </c>
      <c r="E130" s="6">
        <v>0</v>
      </c>
      <c r="I130"/>
      <c r="K130"/>
    </row>
    <row r="131" spans="1:11" x14ac:dyDescent="0.2">
      <c r="A131" s="3" t="s">
        <v>8</v>
      </c>
      <c r="B131" s="10">
        <f>SUM(B126:B130)</f>
        <v>2687575.9299999997</v>
      </c>
      <c r="C131" s="10">
        <f>SUM(C126:C130)</f>
        <v>332782.44</v>
      </c>
      <c r="D131" s="10">
        <f>SUM(D126:D130)</f>
        <v>0</v>
      </c>
      <c r="E131" s="10">
        <f>SUM(E126:E130)</f>
        <v>0</v>
      </c>
      <c r="I131"/>
      <c r="K131"/>
    </row>
    <row r="132" spans="1:11" x14ac:dyDescent="0.2">
      <c r="A132" s="2"/>
      <c r="B132" s="2"/>
      <c r="C132" s="2"/>
      <c r="D132" s="2"/>
      <c r="E132" s="2"/>
      <c r="I132"/>
      <c r="K132"/>
    </row>
    <row r="133" spans="1:11" x14ac:dyDescent="0.2">
      <c r="A133" s="2" t="s">
        <v>9</v>
      </c>
      <c r="B133" s="2">
        <v>0</v>
      </c>
      <c r="C133" s="2">
        <v>0</v>
      </c>
      <c r="D133" s="2">
        <v>0</v>
      </c>
      <c r="E133" s="2">
        <v>0</v>
      </c>
      <c r="I133"/>
      <c r="K133"/>
    </row>
    <row r="134" spans="1:11" x14ac:dyDescent="0.2">
      <c r="A134" s="2" t="s">
        <v>10</v>
      </c>
      <c r="B134" s="2">
        <v>-1364</v>
      </c>
      <c r="C134" s="9">
        <f>21.5+164</f>
        <v>185.5</v>
      </c>
      <c r="D134" s="9">
        <v>0</v>
      </c>
      <c r="E134" s="9">
        <v>0</v>
      </c>
      <c r="I134"/>
      <c r="K134"/>
    </row>
    <row r="135" spans="1:11" x14ac:dyDescent="0.2">
      <c r="A135" s="2"/>
      <c r="B135" s="2"/>
      <c r="C135" s="2"/>
      <c r="D135" s="2"/>
      <c r="E135" s="2"/>
      <c r="I135"/>
      <c r="K135"/>
    </row>
    <row r="136" spans="1:11" x14ac:dyDescent="0.2">
      <c r="A136" s="3" t="s">
        <v>6</v>
      </c>
      <c r="B136" s="10">
        <f>+B103+B110+B117+B124+B131+B133+B134</f>
        <v>7558292.7299999995</v>
      </c>
      <c r="C136" s="10">
        <f>+C131+C124+C117+C110+C103+C133-C134</f>
        <v>834499.64999999991</v>
      </c>
      <c r="D136" s="10">
        <f>+D131+D124+D117+D110+D103</f>
        <v>0</v>
      </c>
      <c r="E136" s="10">
        <f>+E131+E124+E117+E110+E103</f>
        <v>0</v>
      </c>
      <c r="I136"/>
      <c r="K136"/>
    </row>
    <row r="137" spans="1:11" x14ac:dyDescent="0.2">
      <c r="B137" s="1"/>
      <c r="C137" s="1"/>
      <c r="D137" s="1"/>
      <c r="I137"/>
      <c r="K137"/>
    </row>
    <row r="138" spans="1:11" x14ac:dyDescent="0.2">
      <c r="A138" s="26"/>
      <c r="B138" s="26"/>
      <c r="C138" s="26"/>
      <c r="D138" s="26"/>
      <c r="I138"/>
      <c r="K138"/>
    </row>
    <row r="139" spans="1:11" x14ac:dyDescent="0.2">
      <c r="A139" s="11" t="s">
        <v>23</v>
      </c>
      <c r="B139" s="9"/>
      <c r="C139" s="2"/>
      <c r="D139" s="2"/>
      <c r="I139"/>
      <c r="K139"/>
    </row>
    <row r="140" spans="1:11" x14ac:dyDescent="0.2">
      <c r="A140" s="9"/>
      <c r="B140" s="9"/>
      <c r="C140" s="2"/>
      <c r="D140" s="2"/>
      <c r="I140"/>
      <c r="K140"/>
    </row>
    <row r="141" spans="1:11" x14ac:dyDescent="0.2">
      <c r="A141" s="2"/>
      <c r="B141" s="2"/>
      <c r="C141" s="2"/>
      <c r="D141" s="2"/>
      <c r="I141"/>
      <c r="K141"/>
    </row>
    <row r="142" spans="1:11" x14ac:dyDescent="0.2">
      <c r="A142" s="4"/>
      <c r="B142" s="11" t="s">
        <v>47</v>
      </c>
      <c r="C142" s="11" t="s">
        <v>46</v>
      </c>
      <c r="D142" s="11" t="s">
        <v>48</v>
      </c>
      <c r="E142" s="11" t="s">
        <v>49</v>
      </c>
      <c r="I142"/>
      <c r="K142"/>
    </row>
    <row r="143" spans="1:11" x14ac:dyDescent="0.2">
      <c r="A143" s="2"/>
      <c r="B143" s="2"/>
      <c r="C143" s="2"/>
      <c r="D143" s="2"/>
      <c r="E143" s="2"/>
      <c r="I143"/>
      <c r="K143"/>
    </row>
    <row r="144" spans="1:11" x14ac:dyDescent="0.2">
      <c r="A144" s="2"/>
      <c r="B144" s="5">
        <v>0</v>
      </c>
      <c r="C144" s="5">
        <v>0</v>
      </c>
      <c r="D144" s="5">
        <v>0</v>
      </c>
      <c r="E144" s="5">
        <v>0</v>
      </c>
      <c r="I144"/>
      <c r="K144"/>
    </row>
    <row r="145" spans="1:11" x14ac:dyDescent="0.2">
      <c r="A145" s="2"/>
      <c r="B145" s="5">
        <v>0</v>
      </c>
      <c r="C145" s="5">
        <v>0</v>
      </c>
      <c r="D145" s="5">
        <v>0</v>
      </c>
      <c r="E145" s="5">
        <v>0</v>
      </c>
      <c r="I145"/>
      <c r="K145"/>
    </row>
    <row r="146" spans="1:11" x14ac:dyDescent="0.2">
      <c r="A146" s="2"/>
      <c r="B146" s="5">
        <v>0</v>
      </c>
      <c r="C146" s="5">
        <v>0</v>
      </c>
      <c r="D146" s="5">
        <v>0</v>
      </c>
      <c r="E146" s="5">
        <v>0</v>
      </c>
      <c r="I146"/>
      <c r="K146"/>
    </row>
    <row r="147" spans="1:11" x14ac:dyDescent="0.2">
      <c r="A147" s="7"/>
      <c r="B147" s="5">
        <v>0</v>
      </c>
      <c r="C147" s="5">
        <v>0</v>
      </c>
      <c r="D147" s="5">
        <v>0</v>
      </c>
      <c r="E147" s="5">
        <v>0</v>
      </c>
      <c r="I147"/>
      <c r="K147"/>
    </row>
    <row r="148" spans="1:11" x14ac:dyDescent="0.2">
      <c r="A148" s="7">
        <v>1</v>
      </c>
      <c r="B148" s="6">
        <v>833.6</v>
      </c>
      <c r="C148" s="6">
        <v>0</v>
      </c>
      <c r="D148" s="6">
        <v>0</v>
      </c>
      <c r="E148" s="6">
        <v>0</v>
      </c>
      <c r="I148"/>
      <c r="K148"/>
    </row>
    <row r="149" spans="1:11" x14ac:dyDescent="0.2">
      <c r="A149" s="3" t="s">
        <v>8</v>
      </c>
      <c r="B149" s="10">
        <f>SUM(B144:B148)</f>
        <v>833.6</v>
      </c>
      <c r="C149" s="10">
        <f>SUM(C144:C148)</f>
        <v>0</v>
      </c>
      <c r="D149" s="10">
        <f>SUM(D144:D148)</f>
        <v>0</v>
      </c>
      <c r="E149" s="10">
        <f>SUM(E144:E148)</f>
        <v>0</v>
      </c>
      <c r="I149"/>
      <c r="K149"/>
    </row>
    <row r="150" spans="1:11" x14ac:dyDescent="0.2">
      <c r="A150" s="2"/>
      <c r="B150" s="2"/>
      <c r="C150" s="2"/>
      <c r="D150" s="2"/>
      <c r="E150" s="2"/>
      <c r="I150"/>
      <c r="K150"/>
    </row>
    <row r="151" spans="1:11" x14ac:dyDescent="0.2">
      <c r="A151" s="7">
        <v>4</v>
      </c>
      <c r="B151" s="5">
        <f>21278.02+24420.13</f>
        <v>45698.15</v>
      </c>
      <c r="C151" s="5">
        <v>0</v>
      </c>
      <c r="D151" s="5">
        <v>0</v>
      </c>
      <c r="E151" s="5">
        <v>0</v>
      </c>
      <c r="I151"/>
      <c r="K151"/>
    </row>
    <row r="152" spans="1:11" x14ac:dyDescent="0.2">
      <c r="A152" s="7">
        <v>5</v>
      </c>
      <c r="B152" s="5">
        <f>276399.92+169672.1</f>
        <v>446072.02</v>
      </c>
      <c r="C152" s="5">
        <v>0</v>
      </c>
      <c r="D152" s="5">
        <v>0</v>
      </c>
      <c r="E152" s="5">
        <v>0</v>
      </c>
      <c r="I152"/>
      <c r="K152"/>
    </row>
    <row r="153" spans="1:11" x14ac:dyDescent="0.2">
      <c r="A153" s="7">
        <v>6</v>
      </c>
      <c r="B153" s="5">
        <f>86828.11+197165.61</f>
        <v>283993.71999999997</v>
      </c>
      <c r="C153" s="5">
        <v>22500</v>
      </c>
      <c r="D153" s="5">
        <v>0</v>
      </c>
      <c r="E153" s="5">
        <v>0</v>
      </c>
      <c r="I153"/>
      <c r="K153"/>
    </row>
    <row r="154" spans="1:11" x14ac:dyDescent="0.2">
      <c r="A154" s="7">
        <v>7</v>
      </c>
      <c r="B154" s="5">
        <v>0</v>
      </c>
      <c r="C154" s="5">
        <v>0</v>
      </c>
      <c r="D154" s="5">
        <v>0</v>
      </c>
      <c r="E154" s="5">
        <v>0</v>
      </c>
      <c r="I154"/>
      <c r="K154"/>
    </row>
    <row r="155" spans="1:11" x14ac:dyDescent="0.2">
      <c r="A155" s="8">
        <v>8</v>
      </c>
      <c r="B155" s="5">
        <v>25377.33</v>
      </c>
      <c r="C155" s="6">
        <v>692.85</v>
      </c>
      <c r="D155" s="6">
        <v>0</v>
      </c>
      <c r="E155" s="6">
        <v>0</v>
      </c>
      <c r="I155"/>
      <c r="K155"/>
    </row>
    <row r="156" spans="1:11" x14ac:dyDescent="0.2">
      <c r="A156" s="3" t="s">
        <v>8</v>
      </c>
      <c r="B156" s="10">
        <f>SUM(B151:B155)</f>
        <v>801141.22</v>
      </c>
      <c r="C156" s="10">
        <f>SUM(C151:C155)</f>
        <v>23192.85</v>
      </c>
      <c r="D156" s="10">
        <f>SUM(D151:D155)</f>
        <v>0</v>
      </c>
      <c r="E156" s="10">
        <f>SUM(E151:E155)</f>
        <v>0</v>
      </c>
      <c r="I156"/>
      <c r="K156"/>
    </row>
    <row r="157" spans="1:11" x14ac:dyDescent="0.2">
      <c r="A157" s="2"/>
      <c r="B157" s="2"/>
      <c r="C157" s="2"/>
      <c r="D157" s="2"/>
      <c r="E157" s="2"/>
      <c r="I157"/>
      <c r="K157"/>
    </row>
    <row r="158" spans="1:11" x14ac:dyDescent="0.2">
      <c r="A158" s="2">
        <v>11</v>
      </c>
      <c r="B158" s="5">
        <f>315612.31+100000+6842.96</f>
        <v>422455.27</v>
      </c>
      <c r="C158" s="5">
        <v>0</v>
      </c>
      <c r="D158" s="5">
        <v>0</v>
      </c>
      <c r="E158" s="5">
        <v>0</v>
      </c>
      <c r="I158"/>
      <c r="K158"/>
    </row>
    <row r="159" spans="1:11" x14ac:dyDescent="0.2">
      <c r="A159" s="2">
        <v>12</v>
      </c>
      <c r="B159" s="5">
        <f>88898.95+200000+569612.76</f>
        <v>858511.71</v>
      </c>
      <c r="C159" s="5">
        <v>78559.009999999995</v>
      </c>
      <c r="D159" s="5">
        <v>0</v>
      </c>
      <c r="E159" s="5">
        <v>0</v>
      </c>
      <c r="I159"/>
      <c r="K159"/>
    </row>
    <row r="160" spans="1:11" x14ac:dyDescent="0.2">
      <c r="A160" s="2">
        <v>13</v>
      </c>
      <c r="B160" s="5">
        <f>416077.46+11000</f>
        <v>427077.46</v>
      </c>
      <c r="C160" s="5">
        <v>0</v>
      </c>
      <c r="D160" s="5">
        <v>0</v>
      </c>
      <c r="E160" s="5">
        <v>0</v>
      </c>
      <c r="I160"/>
      <c r="K160"/>
    </row>
    <row r="161" spans="1:11" x14ac:dyDescent="0.2">
      <c r="A161" s="2">
        <v>14</v>
      </c>
      <c r="B161" s="5">
        <f>303862.2+110500+258000</f>
        <v>672362.2</v>
      </c>
      <c r="C161" s="5">
        <v>8530</v>
      </c>
      <c r="D161" s="5">
        <v>0</v>
      </c>
      <c r="E161" s="5">
        <v>0</v>
      </c>
      <c r="I161"/>
      <c r="K161"/>
    </row>
    <row r="162" spans="1:11" x14ac:dyDescent="0.2">
      <c r="A162" s="2">
        <v>15</v>
      </c>
      <c r="B162" s="5">
        <v>308.27999999999997</v>
      </c>
      <c r="C162" s="6">
        <v>329388.46999999997</v>
      </c>
      <c r="D162" s="6">
        <v>0</v>
      </c>
      <c r="E162" s="6">
        <v>0</v>
      </c>
      <c r="I162"/>
      <c r="K162"/>
    </row>
    <row r="163" spans="1:11" x14ac:dyDescent="0.2">
      <c r="A163" s="3" t="s">
        <v>8</v>
      </c>
      <c r="B163" s="10">
        <f>SUM(B158:B162)</f>
        <v>2380714.9199999995</v>
      </c>
      <c r="C163" s="10">
        <f>SUM(C158:C162)</f>
        <v>416477.48</v>
      </c>
      <c r="D163" s="10">
        <f>SUM(D158:D162)</f>
        <v>0</v>
      </c>
      <c r="E163" s="10">
        <f>SUM(E158:E162)</f>
        <v>0</v>
      </c>
      <c r="I163"/>
      <c r="K163"/>
    </row>
    <row r="164" spans="1:11" x14ac:dyDescent="0.2">
      <c r="A164" s="2"/>
      <c r="B164" s="2"/>
      <c r="C164" s="2"/>
      <c r="D164" s="2"/>
      <c r="E164" s="2"/>
      <c r="I164"/>
      <c r="K164"/>
    </row>
    <row r="165" spans="1:11" x14ac:dyDescent="0.2">
      <c r="A165" s="2">
        <v>18</v>
      </c>
      <c r="B165" s="5">
        <v>0</v>
      </c>
      <c r="C165" s="5">
        <v>0</v>
      </c>
      <c r="D165" s="5">
        <v>0</v>
      </c>
      <c r="E165" s="5">
        <v>0</v>
      </c>
      <c r="I165"/>
      <c r="K165"/>
    </row>
    <row r="166" spans="1:11" x14ac:dyDescent="0.2">
      <c r="A166" s="2">
        <v>19</v>
      </c>
      <c r="B166" s="5">
        <f>339954.71+71000</f>
        <v>410954.71</v>
      </c>
      <c r="C166" s="5">
        <v>0</v>
      </c>
      <c r="D166" s="5">
        <v>0</v>
      </c>
      <c r="E166" s="5">
        <v>0</v>
      </c>
      <c r="I166"/>
      <c r="K166"/>
    </row>
    <row r="167" spans="1:11" x14ac:dyDescent="0.2">
      <c r="A167" s="2">
        <v>20</v>
      </c>
      <c r="B167" s="5">
        <f>18331.49+240207.49</f>
        <v>258538.97999999998</v>
      </c>
      <c r="C167" s="5">
        <v>36180.94</v>
      </c>
      <c r="D167" s="5">
        <v>0</v>
      </c>
      <c r="E167" s="5">
        <v>150000</v>
      </c>
      <c r="I167"/>
      <c r="K167"/>
    </row>
    <row r="168" spans="1:11" x14ac:dyDescent="0.2">
      <c r="A168" s="2">
        <v>21</v>
      </c>
      <c r="B168" s="5">
        <f>156503.25+220000</f>
        <v>376503.25</v>
      </c>
      <c r="C168" s="5">
        <v>368.6</v>
      </c>
      <c r="D168" s="5">
        <v>0</v>
      </c>
      <c r="E168" s="5">
        <v>0</v>
      </c>
      <c r="I168"/>
      <c r="K168"/>
    </row>
    <row r="169" spans="1:11" x14ac:dyDescent="0.2">
      <c r="A169" s="2">
        <v>22</v>
      </c>
      <c r="B169" s="5">
        <f>71000</f>
        <v>71000</v>
      </c>
      <c r="C169" s="6">
        <f>791.22</f>
        <v>791.22</v>
      </c>
      <c r="D169" s="6">
        <v>0</v>
      </c>
      <c r="E169" s="6">
        <v>0</v>
      </c>
      <c r="I169"/>
      <c r="K169"/>
    </row>
    <row r="170" spans="1:11" x14ac:dyDescent="0.2">
      <c r="A170" s="3" t="s">
        <v>8</v>
      </c>
      <c r="B170" s="10">
        <f>SUM(B165:B169)</f>
        <v>1116996.94</v>
      </c>
      <c r="C170" s="10">
        <f>SUM(C165:C169)</f>
        <v>37340.76</v>
      </c>
      <c r="D170" s="10">
        <f>SUM(D165:D169)</f>
        <v>0</v>
      </c>
      <c r="E170" s="10">
        <f>SUM(E165:E169)</f>
        <v>150000</v>
      </c>
      <c r="I170"/>
      <c r="K170"/>
    </row>
    <row r="171" spans="1:11" x14ac:dyDescent="0.2">
      <c r="A171" s="2"/>
      <c r="B171" s="2"/>
      <c r="C171" s="2"/>
      <c r="D171" s="2"/>
      <c r="E171" s="2"/>
      <c r="I171"/>
      <c r="K171"/>
    </row>
    <row r="172" spans="1:11" x14ac:dyDescent="0.2">
      <c r="A172" s="2">
        <v>25</v>
      </c>
      <c r="B172" s="5">
        <f>752632.74</f>
        <v>752632.74</v>
      </c>
      <c r="C172" s="5">
        <v>63148.18</v>
      </c>
      <c r="D172" s="5">
        <v>0</v>
      </c>
      <c r="E172" s="5">
        <v>0</v>
      </c>
      <c r="I172"/>
      <c r="K172"/>
    </row>
    <row r="173" spans="1:11" x14ac:dyDescent="0.2">
      <c r="A173" s="2">
        <v>26</v>
      </c>
      <c r="B173" s="5">
        <v>1293042.8</v>
      </c>
      <c r="C173" s="5">
        <v>22531.93</v>
      </c>
      <c r="D173" s="5">
        <v>0</v>
      </c>
      <c r="E173" s="5">
        <v>0</v>
      </c>
      <c r="I173"/>
      <c r="K173"/>
    </row>
    <row r="174" spans="1:11" x14ac:dyDescent="0.2">
      <c r="A174" s="2">
        <v>27</v>
      </c>
      <c r="B174" s="5">
        <v>0</v>
      </c>
      <c r="C174" s="5">
        <v>0</v>
      </c>
      <c r="D174" s="5">
        <v>0</v>
      </c>
      <c r="E174" s="5">
        <v>0</v>
      </c>
      <c r="I174"/>
      <c r="K174"/>
    </row>
    <row r="175" spans="1:11" x14ac:dyDescent="0.2">
      <c r="A175" s="2">
        <v>28</v>
      </c>
      <c r="B175" s="5">
        <f>25762.52+20834.45</f>
        <v>46596.97</v>
      </c>
      <c r="C175" s="5">
        <v>0</v>
      </c>
      <c r="D175" s="5">
        <v>0</v>
      </c>
      <c r="E175" s="5">
        <v>0</v>
      </c>
      <c r="I175"/>
      <c r="K175"/>
    </row>
    <row r="176" spans="1:11" x14ac:dyDescent="0.2">
      <c r="A176" s="2">
        <v>29</v>
      </c>
      <c r="B176" s="5">
        <f>40935.89+90000</f>
        <v>130935.89</v>
      </c>
      <c r="C176" s="6">
        <f>333596.1+23069.14</f>
        <v>356665.24</v>
      </c>
      <c r="D176" s="6">
        <v>24000</v>
      </c>
      <c r="E176" s="6">
        <v>0</v>
      </c>
      <c r="I176"/>
      <c r="K176"/>
    </row>
    <row r="177" spans="1:11" x14ac:dyDescent="0.2">
      <c r="A177" s="3" t="s">
        <v>8</v>
      </c>
      <c r="B177" s="10">
        <f>SUM(B172:B176)</f>
        <v>2223208.4</v>
      </c>
      <c r="C177" s="10">
        <f>SUM(C172:C176)</f>
        <v>442345.35</v>
      </c>
      <c r="D177" s="10">
        <f>SUM(D172:D176)</f>
        <v>24000</v>
      </c>
      <c r="E177" s="10">
        <f>SUM(E172:E176)</f>
        <v>0</v>
      </c>
      <c r="I177"/>
      <c r="K177"/>
    </row>
    <row r="178" spans="1:11" x14ac:dyDescent="0.2">
      <c r="A178" s="3"/>
      <c r="B178" s="2"/>
      <c r="C178" s="2"/>
      <c r="D178" s="2"/>
      <c r="E178" s="2"/>
      <c r="I178"/>
      <c r="K178"/>
    </row>
    <row r="179" spans="1:11" x14ac:dyDescent="0.2">
      <c r="A179" s="2">
        <v>30</v>
      </c>
      <c r="B179" s="5">
        <v>27977.61</v>
      </c>
      <c r="C179" s="6">
        <v>0</v>
      </c>
      <c r="D179" s="6">
        <v>0</v>
      </c>
      <c r="E179" s="6">
        <v>0</v>
      </c>
      <c r="I179"/>
      <c r="K179"/>
    </row>
    <row r="180" spans="1:11" x14ac:dyDescent="0.2">
      <c r="A180" s="3" t="s">
        <v>8</v>
      </c>
      <c r="B180" s="10">
        <f>SUM(B179:B179)</f>
        <v>27977.61</v>
      </c>
      <c r="C180" s="10">
        <f t="shared" ref="C180:E180" si="0">SUM(C179:C179)</f>
        <v>0</v>
      </c>
      <c r="D180" s="10">
        <f t="shared" si="0"/>
        <v>0</v>
      </c>
      <c r="E180" s="10">
        <f t="shared" si="0"/>
        <v>0</v>
      </c>
      <c r="I180"/>
      <c r="K180"/>
    </row>
    <row r="181" spans="1:11" x14ac:dyDescent="0.2">
      <c r="A181" s="2"/>
      <c r="B181" s="2"/>
      <c r="C181" s="2"/>
      <c r="D181" s="2"/>
      <c r="E181" s="2"/>
      <c r="I181"/>
      <c r="K181"/>
    </row>
    <row r="182" spans="1:11" x14ac:dyDescent="0.2">
      <c r="A182" s="2" t="s">
        <v>9</v>
      </c>
      <c r="B182" s="44">
        <f>500000+300000</f>
        <v>800000</v>
      </c>
      <c r="C182" s="2">
        <v>0</v>
      </c>
      <c r="D182" s="2">
        <v>0</v>
      </c>
      <c r="E182" s="2">
        <v>0</v>
      </c>
      <c r="I182"/>
      <c r="K182"/>
    </row>
    <row r="183" spans="1:11" x14ac:dyDescent="0.2">
      <c r="A183" s="2" t="s">
        <v>10</v>
      </c>
      <c r="B183" s="2">
        <f>3750+1020</f>
        <v>4770</v>
      </c>
      <c r="C183" s="47">
        <v>3614.94</v>
      </c>
      <c r="D183" s="9">
        <v>0</v>
      </c>
      <c r="E183" s="9">
        <v>0</v>
      </c>
      <c r="I183"/>
      <c r="K183"/>
    </row>
    <row r="184" spans="1:11" x14ac:dyDescent="0.2">
      <c r="A184" s="2"/>
      <c r="B184" s="2"/>
      <c r="C184" s="2"/>
      <c r="D184" s="2"/>
      <c r="E184" s="2"/>
      <c r="I184"/>
      <c r="K184"/>
    </row>
    <row r="185" spans="1:11" x14ac:dyDescent="0.2">
      <c r="A185" s="3" t="s">
        <v>6</v>
      </c>
      <c r="B185" s="10">
        <f>+B149+B156+B163+B170+B177+B182-B183+B180</f>
        <v>7346102.6900000004</v>
      </c>
      <c r="C185" s="10">
        <f>+C149+C156+C163+C170+C177+C182-C183+C180</f>
        <v>915741.5</v>
      </c>
      <c r="D185" s="10">
        <f t="shared" ref="D185:E185" si="1">+D149+D156+D163+D170+D177+D182+D183+D180</f>
        <v>24000</v>
      </c>
      <c r="E185" s="10">
        <f t="shared" si="1"/>
        <v>150000</v>
      </c>
      <c r="I185"/>
      <c r="K185"/>
    </row>
    <row r="186" spans="1:11" x14ac:dyDescent="0.2">
      <c r="B186" s="1"/>
      <c r="C186" s="1"/>
      <c r="D186" s="1"/>
      <c r="I186"/>
      <c r="K186"/>
    </row>
    <row r="187" spans="1:11" x14ac:dyDescent="0.2">
      <c r="A187" s="26"/>
      <c r="B187" s="26"/>
      <c r="C187" s="26"/>
      <c r="D187" s="26"/>
      <c r="I187"/>
      <c r="K187"/>
    </row>
    <row r="188" spans="1:11" x14ac:dyDescent="0.2">
      <c r="A188" s="11" t="s">
        <v>7</v>
      </c>
      <c r="B188" s="9"/>
      <c r="C188" s="2"/>
      <c r="D188" s="2"/>
      <c r="I188"/>
      <c r="K188"/>
    </row>
    <row r="189" spans="1:11" x14ac:dyDescent="0.2">
      <c r="A189" s="9"/>
      <c r="B189" s="9"/>
      <c r="C189" s="2"/>
      <c r="D189" s="2"/>
      <c r="I189"/>
      <c r="K189"/>
    </row>
    <row r="190" spans="1:11" x14ac:dyDescent="0.2">
      <c r="A190" s="2"/>
      <c r="B190" s="2"/>
      <c r="C190" s="2"/>
      <c r="D190" s="2"/>
      <c r="I190"/>
      <c r="K190"/>
    </row>
    <row r="191" spans="1:11" x14ac:dyDescent="0.2">
      <c r="A191" s="4"/>
      <c r="B191" s="11" t="s">
        <v>47</v>
      </c>
      <c r="C191" s="11" t="s">
        <v>46</v>
      </c>
      <c r="D191" s="11" t="s">
        <v>48</v>
      </c>
      <c r="E191" s="11" t="s">
        <v>49</v>
      </c>
      <c r="I191"/>
      <c r="K191"/>
    </row>
    <row r="192" spans="1:11" x14ac:dyDescent="0.2">
      <c r="A192" s="2"/>
      <c r="B192" s="2"/>
      <c r="C192" s="2"/>
      <c r="D192" s="2"/>
      <c r="E192" s="2"/>
      <c r="I192"/>
      <c r="K192"/>
    </row>
    <row r="193" spans="1:11" x14ac:dyDescent="0.2">
      <c r="A193" s="2">
        <v>2</v>
      </c>
      <c r="B193" s="5">
        <f>845545.68+833.6</f>
        <v>846379.28</v>
      </c>
      <c r="C193" s="5">
        <v>0</v>
      </c>
      <c r="D193" s="5">
        <v>0</v>
      </c>
      <c r="E193" s="5">
        <v>0</v>
      </c>
      <c r="I193"/>
      <c r="K193"/>
    </row>
    <row r="194" spans="1:11" x14ac:dyDescent="0.2">
      <c r="A194" s="2">
        <v>3</v>
      </c>
      <c r="B194" s="5">
        <f>17817.08+7630.75</f>
        <v>25447.83</v>
      </c>
      <c r="C194" s="5">
        <v>0</v>
      </c>
      <c r="D194" s="5">
        <v>0</v>
      </c>
      <c r="E194" s="5">
        <v>0</v>
      </c>
      <c r="I194"/>
      <c r="K194"/>
    </row>
    <row r="195" spans="1:11" x14ac:dyDescent="0.2">
      <c r="A195" s="2">
        <v>4</v>
      </c>
      <c r="B195" s="5">
        <f>1209071.44+48000</f>
        <v>1257071.44</v>
      </c>
      <c r="C195" s="5">
        <v>58182</v>
      </c>
      <c r="D195" s="5">
        <v>0</v>
      </c>
      <c r="E195" s="5">
        <v>0</v>
      </c>
      <c r="I195"/>
      <c r="K195"/>
    </row>
    <row r="196" spans="1:11" x14ac:dyDescent="0.2">
      <c r="A196" s="7">
        <v>5</v>
      </c>
      <c r="B196" s="5">
        <f>78930.39+50000</f>
        <v>128930.39</v>
      </c>
      <c r="C196" s="5">
        <v>0</v>
      </c>
      <c r="D196" s="5">
        <v>0</v>
      </c>
      <c r="E196" s="5">
        <v>0</v>
      </c>
      <c r="I196"/>
      <c r="K196"/>
    </row>
    <row r="197" spans="1:11" x14ac:dyDescent="0.2">
      <c r="A197" s="7">
        <v>6</v>
      </c>
      <c r="B197" s="6">
        <f>34372.43+6842.96</f>
        <v>41215.39</v>
      </c>
      <c r="C197" s="6">
        <v>729.62</v>
      </c>
      <c r="D197" s="6">
        <v>0</v>
      </c>
      <c r="E197" s="6">
        <v>0</v>
      </c>
      <c r="I197"/>
      <c r="K197"/>
    </row>
    <row r="198" spans="1:11" x14ac:dyDescent="0.2">
      <c r="A198" s="3" t="s">
        <v>8</v>
      </c>
      <c r="B198" s="10">
        <f>SUM(B193:B197)</f>
        <v>2299044.33</v>
      </c>
      <c r="C198" s="10">
        <f>SUM(C193:C197)</f>
        <v>58911.62</v>
      </c>
      <c r="D198" s="10">
        <f>SUM(D193:D197)</f>
        <v>0</v>
      </c>
      <c r="E198" s="10">
        <f>SUM(E193:E197)</f>
        <v>0</v>
      </c>
      <c r="I198"/>
      <c r="K198"/>
    </row>
    <row r="199" spans="1:11" x14ac:dyDescent="0.2">
      <c r="A199" s="2"/>
      <c r="B199" s="2"/>
      <c r="C199" s="2"/>
      <c r="D199" s="2"/>
      <c r="E199" s="2"/>
      <c r="I199"/>
      <c r="K199"/>
    </row>
    <row r="200" spans="1:11" x14ac:dyDescent="0.2">
      <c r="A200" s="7">
        <v>9</v>
      </c>
      <c r="B200" s="5">
        <v>20224.75</v>
      </c>
      <c r="C200" s="5">
        <v>0</v>
      </c>
      <c r="D200" s="5">
        <v>0</v>
      </c>
      <c r="E200" s="5">
        <v>0</v>
      </c>
      <c r="I200"/>
      <c r="K200"/>
    </row>
    <row r="201" spans="1:11" x14ac:dyDescent="0.2">
      <c r="A201" s="7">
        <v>10</v>
      </c>
      <c r="B201" s="5">
        <v>144600.51999999999</v>
      </c>
      <c r="C201" s="5">
        <v>0</v>
      </c>
      <c r="D201" s="5">
        <v>0</v>
      </c>
      <c r="E201" s="5">
        <v>0</v>
      </c>
      <c r="I201"/>
      <c r="K201"/>
    </row>
    <row r="202" spans="1:11" x14ac:dyDescent="0.2">
      <c r="A202" s="7">
        <v>11</v>
      </c>
      <c r="B202" s="5">
        <v>1762467.49</v>
      </c>
      <c r="C202" s="5">
        <v>0</v>
      </c>
      <c r="D202" s="5">
        <v>0</v>
      </c>
      <c r="E202" s="5">
        <v>0</v>
      </c>
      <c r="I202"/>
      <c r="K202"/>
    </row>
    <row r="203" spans="1:11" x14ac:dyDescent="0.2">
      <c r="A203" s="7">
        <v>12</v>
      </c>
      <c r="B203" s="5">
        <v>0</v>
      </c>
      <c r="C203" s="5">
        <v>25608.26</v>
      </c>
      <c r="D203" s="5">
        <v>10612.8</v>
      </c>
      <c r="E203" s="5">
        <v>0</v>
      </c>
      <c r="I203"/>
      <c r="K203"/>
    </row>
    <row r="204" spans="1:11" x14ac:dyDescent="0.2">
      <c r="A204" s="8">
        <v>13</v>
      </c>
      <c r="B204" s="5">
        <v>0</v>
      </c>
      <c r="C204" s="6">
        <v>383144.07</v>
      </c>
      <c r="D204" s="6">
        <v>0</v>
      </c>
      <c r="E204" s="6">
        <v>0</v>
      </c>
      <c r="I204"/>
      <c r="K204"/>
    </row>
    <row r="205" spans="1:11" x14ac:dyDescent="0.2">
      <c r="A205" s="3" t="s">
        <v>8</v>
      </c>
      <c r="B205" s="10">
        <f>SUM(B200:B204)</f>
        <v>1927292.76</v>
      </c>
      <c r="C205" s="10">
        <f>SUM(C200:C204)</f>
        <v>408752.33</v>
      </c>
      <c r="D205" s="10">
        <f>SUM(D200:D204)</f>
        <v>10612.8</v>
      </c>
      <c r="E205" s="10">
        <f>SUM(E200:E204)</f>
        <v>0</v>
      </c>
      <c r="I205"/>
      <c r="K205"/>
    </row>
    <row r="206" spans="1:11" x14ac:dyDescent="0.2">
      <c r="A206" s="2"/>
      <c r="B206" s="2"/>
      <c r="C206" s="2"/>
      <c r="D206" s="2"/>
      <c r="E206" s="2"/>
      <c r="I206"/>
      <c r="K206"/>
    </row>
    <row r="207" spans="1:11" x14ac:dyDescent="0.2">
      <c r="A207" s="2">
        <v>16</v>
      </c>
      <c r="B207" s="5">
        <v>58617.34</v>
      </c>
      <c r="C207" s="5">
        <v>0</v>
      </c>
      <c r="D207" s="5">
        <v>3700</v>
      </c>
      <c r="E207" s="5">
        <v>0</v>
      </c>
      <c r="I207"/>
      <c r="K207"/>
    </row>
    <row r="208" spans="1:11" x14ac:dyDescent="0.2">
      <c r="A208" s="2">
        <v>17</v>
      </c>
      <c r="B208" s="5">
        <f>575207.75+44000</f>
        <v>619207.75</v>
      </c>
      <c r="C208" s="5">
        <f>12053.33+45463.39</f>
        <v>57516.72</v>
      </c>
      <c r="D208" s="5">
        <v>14520.02</v>
      </c>
      <c r="E208" s="5">
        <v>0</v>
      </c>
      <c r="I208"/>
      <c r="K208"/>
    </row>
    <row r="209" spans="1:11" x14ac:dyDescent="0.2">
      <c r="A209" s="2">
        <v>18</v>
      </c>
      <c r="B209" s="5">
        <f>671007.62-21913.75</f>
        <v>649093.87</v>
      </c>
      <c r="C209" s="5">
        <v>0</v>
      </c>
      <c r="D209" s="5">
        <v>0</v>
      </c>
      <c r="E209" s="5">
        <v>0</v>
      </c>
      <c r="I209"/>
      <c r="K209"/>
    </row>
    <row r="210" spans="1:11" x14ac:dyDescent="0.2">
      <c r="A210" s="2">
        <v>19</v>
      </c>
      <c r="B210" s="5">
        <v>58313.59</v>
      </c>
      <c r="C210" s="5">
        <v>0</v>
      </c>
      <c r="D210" s="5">
        <v>0</v>
      </c>
      <c r="E210" s="5">
        <v>0</v>
      </c>
      <c r="I210"/>
      <c r="K210"/>
    </row>
    <row r="211" spans="1:11" x14ac:dyDescent="0.2">
      <c r="A211" s="2">
        <v>20</v>
      </c>
      <c r="B211" s="5">
        <v>0</v>
      </c>
      <c r="C211" s="6">
        <v>0</v>
      </c>
      <c r="D211" s="6">
        <v>0</v>
      </c>
      <c r="E211" s="6">
        <v>0</v>
      </c>
      <c r="I211"/>
      <c r="K211"/>
    </row>
    <row r="212" spans="1:11" x14ac:dyDescent="0.2">
      <c r="A212" s="3" t="s">
        <v>8</v>
      </c>
      <c r="B212" s="10">
        <f>SUM(B207:B211)</f>
        <v>1385232.55</v>
      </c>
      <c r="C212" s="10">
        <f>SUM(C207:C211)</f>
        <v>57516.72</v>
      </c>
      <c r="D212" s="10">
        <f>SUM(D207:D211)</f>
        <v>18220.02</v>
      </c>
      <c r="E212" s="10">
        <f>SUM(E207:E211)</f>
        <v>0</v>
      </c>
      <c r="I212"/>
      <c r="K212"/>
    </row>
    <row r="213" spans="1:11" x14ac:dyDescent="0.2">
      <c r="A213" s="2"/>
      <c r="B213" s="2"/>
      <c r="C213" s="2"/>
      <c r="D213" s="2"/>
      <c r="E213" s="2"/>
      <c r="I213"/>
      <c r="K213"/>
    </row>
    <row r="214" spans="1:11" x14ac:dyDescent="0.2">
      <c r="A214" s="2">
        <v>23</v>
      </c>
      <c r="B214" s="5">
        <v>0</v>
      </c>
      <c r="C214" s="5">
        <v>0</v>
      </c>
      <c r="D214" s="5">
        <v>0</v>
      </c>
      <c r="E214" s="5">
        <v>0</v>
      </c>
      <c r="I214"/>
      <c r="K214"/>
    </row>
    <row r="215" spans="1:11" x14ac:dyDescent="0.2">
      <c r="A215" s="2">
        <v>24</v>
      </c>
      <c r="B215" s="5">
        <v>0</v>
      </c>
      <c r="C215" s="5">
        <v>0</v>
      </c>
      <c r="D215" s="5">
        <v>0</v>
      </c>
      <c r="E215" s="5">
        <v>0</v>
      </c>
      <c r="I215"/>
      <c r="K215"/>
    </row>
    <row r="216" spans="1:11" x14ac:dyDescent="0.2">
      <c r="A216" s="2">
        <v>25</v>
      </c>
      <c r="B216" s="5">
        <v>0</v>
      </c>
      <c r="C216" s="5">
        <v>0</v>
      </c>
      <c r="D216" s="5">
        <v>0</v>
      </c>
      <c r="E216" s="5">
        <v>0</v>
      </c>
      <c r="I216"/>
      <c r="K216"/>
    </row>
    <row r="217" spans="1:11" x14ac:dyDescent="0.2">
      <c r="A217" s="2">
        <v>26</v>
      </c>
      <c r="B217" s="5">
        <v>0</v>
      </c>
      <c r="C217" s="5">
        <v>0</v>
      </c>
      <c r="D217" s="5">
        <v>0</v>
      </c>
      <c r="E217" s="5">
        <v>0</v>
      </c>
      <c r="I217"/>
      <c r="K217"/>
    </row>
    <row r="218" spans="1:11" x14ac:dyDescent="0.2">
      <c r="A218" s="2">
        <v>27</v>
      </c>
      <c r="B218" s="5">
        <v>0</v>
      </c>
      <c r="C218" s="6">
        <v>0</v>
      </c>
      <c r="D218" s="6">
        <v>0</v>
      </c>
      <c r="E218" s="6">
        <v>0</v>
      </c>
      <c r="I218"/>
      <c r="K218"/>
    </row>
    <row r="219" spans="1:11" x14ac:dyDescent="0.2">
      <c r="A219" s="3" t="s">
        <v>8</v>
      </c>
      <c r="B219" s="10">
        <f>SUM(B214:B218)</f>
        <v>0</v>
      </c>
      <c r="C219" s="10">
        <f>SUM(C214:C218)</f>
        <v>0</v>
      </c>
      <c r="D219" s="10">
        <f>SUM(D214:D218)</f>
        <v>0</v>
      </c>
      <c r="E219" s="10">
        <f>SUM(E214:E218)</f>
        <v>0</v>
      </c>
      <c r="I219"/>
      <c r="K219"/>
    </row>
    <row r="220" spans="1:11" x14ac:dyDescent="0.2">
      <c r="A220" s="2"/>
      <c r="B220" s="2"/>
      <c r="C220" s="2"/>
      <c r="D220" s="2"/>
      <c r="E220" s="2"/>
      <c r="I220"/>
      <c r="K220"/>
    </row>
    <row r="221" spans="1:11" x14ac:dyDescent="0.2">
      <c r="A221" s="2">
        <v>30</v>
      </c>
      <c r="B221" s="5">
        <v>0</v>
      </c>
      <c r="C221" s="5">
        <v>0</v>
      </c>
      <c r="D221" s="5">
        <v>0</v>
      </c>
      <c r="E221" s="5">
        <v>0</v>
      </c>
      <c r="I221"/>
      <c r="K221"/>
    </row>
    <row r="222" spans="1:11" x14ac:dyDescent="0.2">
      <c r="A222" s="2">
        <v>31</v>
      </c>
      <c r="B222" s="5">
        <v>0</v>
      </c>
      <c r="C222" s="5">
        <v>0</v>
      </c>
      <c r="D222" s="5">
        <v>0</v>
      </c>
      <c r="E222" s="5">
        <v>0</v>
      </c>
      <c r="I222"/>
      <c r="K222"/>
    </row>
    <row r="223" spans="1:11" x14ac:dyDescent="0.2">
      <c r="A223" s="2"/>
      <c r="B223" s="5">
        <v>0</v>
      </c>
      <c r="C223" s="5">
        <v>0</v>
      </c>
      <c r="D223" s="5">
        <v>0</v>
      </c>
      <c r="E223" s="5">
        <v>0</v>
      </c>
      <c r="I223"/>
      <c r="K223"/>
    </row>
    <row r="224" spans="1:11" x14ac:dyDescent="0.2">
      <c r="A224" s="2"/>
      <c r="B224" s="5">
        <v>0</v>
      </c>
      <c r="C224" s="5">
        <v>0</v>
      </c>
      <c r="D224" s="5">
        <v>0</v>
      </c>
      <c r="E224" s="5">
        <v>0</v>
      </c>
      <c r="I224"/>
      <c r="K224"/>
    </row>
    <row r="225" spans="1:11" x14ac:dyDescent="0.2">
      <c r="A225" s="2"/>
      <c r="B225" s="5">
        <v>0</v>
      </c>
      <c r="C225" s="6">
        <v>0</v>
      </c>
      <c r="D225" s="6">
        <v>0</v>
      </c>
      <c r="E225" s="6">
        <v>0</v>
      </c>
      <c r="I225"/>
      <c r="K225"/>
    </row>
    <row r="226" spans="1:11" x14ac:dyDescent="0.2">
      <c r="A226" s="3" t="s">
        <v>8</v>
      </c>
      <c r="B226" s="10">
        <f>SUM(B221:B225)</f>
        <v>0</v>
      </c>
      <c r="C226" s="10">
        <f>SUM(C221:C225)</f>
        <v>0</v>
      </c>
      <c r="D226" s="10">
        <f>SUM(D221:D225)</f>
        <v>0</v>
      </c>
      <c r="E226" s="10">
        <f>SUM(E221:E225)</f>
        <v>0</v>
      </c>
      <c r="I226"/>
      <c r="K226"/>
    </row>
    <row r="227" spans="1:11" x14ac:dyDescent="0.2">
      <c r="A227" s="2"/>
      <c r="B227" s="2"/>
      <c r="C227" s="2"/>
      <c r="D227" s="2"/>
      <c r="E227" s="2"/>
      <c r="I227"/>
      <c r="K227"/>
    </row>
    <row r="228" spans="1:11" x14ac:dyDescent="0.2">
      <c r="A228" s="2" t="s">
        <v>9</v>
      </c>
      <c r="B228" s="44">
        <v>500000</v>
      </c>
      <c r="C228" s="2">
        <v>0</v>
      </c>
      <c r="D228" s="2">
        <v>0</v>
      </c>
      <c r="E228" s="2">
        <v>0</v>
      </c>
      <c r="I228"/>
      <c r="K228"/>
    </row>
    <row r="229" spans="1:11" x14ac:dyDescent="0.2">
      <c r="A229" s="2" t="s">
        <v>10</v>
      </c>
      <c r="B229" s="2">
        <v>0</v>
      </c>
      <c r="C229" s="9">
        <v>0</v>
      </c>
      <c r="D229" s="9">
        <v>0</v>
      </c>
      <c r="E229" s="9">
        <v>0</v>
      </c>
      <c r="I229"/>
      <c r="K229"/>
    </row>
    <row r="230" spans="1:11" x14ac:dyDescent="0.2">
      <c r="A230" s="2"/>
      <c r="B230" s="2"/>
      <c r="C230" s="2"/>
      <c r="D230" s="2"/>
      <c r="E230" s="2"/>
      <c r="I230"/>
      <c r="K230"/>
    </row>
    <row r="231" spans="1:11" x14ac:dyDescent="0.2">
      <c r="A231" s="3" t="s">
        <v>6</v>
      </c>
      <c r="B231" s="10">
        <f>+B198+B205+B212+B219+B226+B228+B229</f>
        <v>6111569.6399999997</v>
      </c>
      <c r="C231" s="10">
        <f>+C226+C219+C212+C205+C198</f>
        <v>525180.67000000004</v>
      </c>
      <c r="D231" s="10">
        <f>+D226+D219+D212+D205+D198</f>
        <v>28832.82</v>
      </c>
      <c r="E231" s="10">
        <f>+E226+E219+E212+E205+E198</f>
        <v>0</v>
      </c>
      <c r="I231"/>
      <c r="K231"/>
    </row>
    <row r="232" spans="1:11" x14ac:dyDescent="0.2">
      <c r="B232" s="1"/>
      <c r="C232" s="1"/>
      <c r="D232" s="1"/>
      <c r="I232"/>
      <c r="K232"/>
    </row>
    <row r="233" spans="1:11" x14ac:dyDescent="0.2">
      <c r="A233" s="26"/>
      <c r="B233" s="26"/>
      <c r="C233" s="26"/>
      <c r="D233" s="26"/>
      <c r="I233"/>
      <c r="K233"/>
    </row>
    <row r="234" spans="1:11" x14ac:dyDescent="0.2">
      <c r="A234" s="11" t="s">
        <v>24</v>
      </c>
      <c r="B234" s="9"/>
      <c r="C234" s="2"/>
      <c r="D234" s="2"/>
      <c r="I234"/>
      <c r="K234"/>
    </row>
    <row r="235" spans="1:11" x14ac:dyDescent="0.2">
      <c r="A235" s="9"/>
      <c r="B235" s="9"/>
      <c r="C235" s="2"/>
      <c r="D235" s="2"/>
      <c r="I235"/>
      <c r="K235"/>
    </row>
    <row r="236" spans="1:11" x14ac:dyDescent="0.2">
      <c r="A236" s="2"/>
      <c r="B236" s="2"/>
      <c r="C236" s="2"/>
      <c r="D236" s="2"/>
      <c r="I236"/>
      <c r="K236"/>
    </row>
    <row r="237" spans="1:11" x14ac:dyDescent="0.2">
      <c r="A237" s="4"/>
      <c r="B237" s="11" t="s">
        <v>47</v>
      </c>
      <c r="C237" s="11" t="s">
        <v>46</v>
      </c>
      <c r="D237" s="11" t="s">
        <v>48</v>
      </c>
      <c r="E237" s="11" t="s">
        <v>49</v>
      </c>
      <c r="I237"/>
      <c r="K237"/>
    </row>
    <row r="238" spans="1:11" x14ac:dyDescent="0.2">
      <c r="A238" s="2"/>
      <c r="B238" s="2"/>
      <c r="C238" s="2"/>
      <c r="D238" s="2"/>
      <c r="E238" s="2"/>
      <c r="I238"/>
      <c r="K238"/>
    </row>
    <row r="239" spans="1:11" x14ac:dyDescent="0.2">
      <c r="A239" s="2"/>
      <c r="B239" s="5">
        <v>0</v>
      </c>
      <c r="C239" s="5">
        <v>0</v>
      </c>
      <c r="D239" s="5">
        <v>0</v>
      </c>
      <c r="E239" s="5">
        <v>0</v>
      </c>
      <c r="I239"/>
      <c r="K239"/>
    </row>
    <row r="240" spans="1:11" x14ac:dyDescent="0.2">
      <c r="A240" s="2"/>
      <c r="B240" s="5">
        <v>0</v>
      </c>
      <c r="C240" s="5">
        <v>0</v>
      </c>
      <c r="D240" s="5">
        <v>0</v>
      </c>
      <c r="E240" s="5">
        <v>0</v>
      </c>
      <c r="I240"/>
      <c r="K240"/>
    </row>
    <row r="241" spans="1:11" x14ac:dyDescent="0.2">
      <c r="A241" s="2">
        <v>1</v>
      </c>
      <c r="B241" s="5">
        <v>0</v>
      </c>
      <c r="C241" s="5">
        <v>0</v>
      </c>
      <c r="D241" s="5">
        <v>0</v>
      </c>
      <c r="E241" s="5">
        <v>0</v>
      </c>
      <c r="I241"/>
      <c r="K241"/>
    </row>
    <row r="242" spans="1:11" x14ac:dyDescent="0.2">
      <c r="A242" s="7">
        <v>2</v>
      </c>
      <c r="B242" s="5">
        <v>0</v>
      </c>
      <c r="C242" s="5">
        <v>0</v>
      </c>
      <c r="D242" s="5">
        <v>0</v>
      </c>
      <c r="E242" s="5">
        <v>0</v>
      </c>
      <c r="I242"/>
      <c r="K242"/>
    </row>
    <row r="243" spans="1:11" x14ac:dyDescent="0.2">
      <c r="A243" s="7">
        <v>3</v>
      </c>
      <c r="B243" s="6">
        <v>0</v>
      </c>
      <c r="C243" s="6">
        <v>0</v>
      </c>
      <c r="D243" s="6">
        <v>0</v>
      </c>
      <c r="E243" s="6">
        <v>0</v>
      </c>
      <c r="I243"/>
      <c r="K243"/>
    </row>
    <row r="244" spans="1:11" x14ac:dyDescent="0.2">
      <c r="A244" s="3" t="s">
        <v>8</v>
      </c>
      <c r="B244" s="10">
        <f>SUM(B239:B243)</f>
        <v>0</v>
      </c>
      <c r="C244" s="10">
        <f>SUM(C239:C243)</f>
        <v>0</v>
      </c>
      <c r="D244" s="10">
        <f>SUM(D239:D243)</f>
        <v>0</v>
      </c>
      <c r="E244" s="10">
        <f>SUM(E239:E243)</f>
        <v>0</v>
      </c>
      <c r="I244"/>
      <c r="K244"/>
    </row>
    <row r="245" spans="1:11" x14ac:dyDescent="0.2">
      <c r="A245" s="2"/>
      <c r="B245" s="2"/>
      <c r="C245" s="2"/>
      <c r="D245" s="2"/>
      <c r="E245" s="2"/>
      <c r="I245"/>
      <c r="K245"/>
    </row>
    <row r="246" spans="1:11" x14ac:dyDescent="0.2">
      <c r="A246" s="7">
        <v>6</v>
      </c>
      <c r="B246" s="5">
        <v>0</v>
      </c>
      <c r="C246" s="5">
        <v>0</v>
      </c>
      <c r="D246" s="5">
        <v>0</v>
      </c>
      <c r="E246" s="5">
        <v>0</v>
      </c>
      <c r="I246"/>
      <c r="K246"/>
    </row>
    <row r="247" spans="1:11" x14ac:dyDescent="0.2">
      <c r="A247" s="7">
        <v>7</v>
      </c>
      <c r="B247" s="5">
        <v>0</v>
      </c>
      <c r="C247" s="5">
        <v>0</v>
      </c>
      <c r="D247" s="5">
        <v>0</v>
      </c>
      <c r="E247" s="5">
        <v>0</v>
      </c>
      <c r="I247"/>
      <c r="K247"/>
    </row>
    <row r="248" spans="1:11" x14ac:dyDescent="0.2">
      <c r="A248" s="7">
        <v>8</v>
      </c>
      <c r="B248" s="5">
        <v>0</v>
      </c>
      <c r="C248" s="5">
        <v>0</v>
      </c>
      <c r="D248" s="5">
        <v>0</v>
      </c>
      <c r="E248" s="5">
        <v>0</v>
      </c>
      <c r="I248"/>
      <c r="K248"/>
    </row>
    <row r="249" spans="1:11" x14ac:dyDescent="0.2">
      <c r="A249" s="7">
        <v>9</v>
      </c>
      <c r="B249" s="5">
        <v>0</v>
      </c>
      <c r="C249" s="5">
        <v>0</v>
      </c>
      <c r="D249" s="5">
        <v>0</v>
      </c>
      <c r="E249" s="5">
        <v>0</v>
      </c>
      <c r="I249"/>
      <c r="K249"/>
    </row>
    <row r="250" spans="1:11" x14ac:dyDescent="0.2">
      <c r="A250" s="8">
        <v>10</v>
      </c>
      <c r="B250" s="5">
        <v>0</v>
      </c>
      <c r="C250" s="6">
        <v>0</v>
      </c>
      <c r="D250" s="6">
        <v>0</v>
      </c>
      <c r="E250" s="6">
        <v>0</v>
      </c>
      <c r="I250"/>
      <c r="K250"/>
    </row>
    <row r="251" spans="1:11" x14ac:dyDescent="0.2">
      <c r="A251" s="3" t="s">
        <v>8</v>
      </c>
      <c r="B251" s="10">
        <f>SUM(B246:B250)</f>
        <v>0</v>
      </c>
      <c r="C251" s="10">
        <f>SUM(C246:C250)</f>
        <v>0</v>
      </c>
      <c r="D251" s="10">
        <f>SUM(D246:D250)</f>
        <v>0</v>
      </c>
      <c r="E251" s="10">
        <f>SUM(E246:E250)</f>
        <v>0</v>
      </c>
      <c r="I251"/>
      <c r="K251"/>
    </row>
    <row r="252" spans="1:11" x14ac:dyDescent="0.2">
      <c r="A252" s="2"/>
      <c r="B252" s="2"/>
      <c r="C252" s="2"/>
      <c r="D252" s="2"/>
      <c r="E252" s="2"/>
      <c r="I252"/>
      <c r="K252"/>
    </row>
    <row r="253" spans="1:11" x14ac:dyDescent="0.2">
      <c r="A253" s="2">
        <v>13</v>
      </c>
      <c r="B253" s="5">
        <v>0</v>
      </c>
      <c r="C253" s="5">
        <v>0</v>
      </c>
      <c r="D253" s="5">
        <v>0</v>
      </c>
      <c r="E253" s="5">
        <v>0</v>
      </c>
      <c r="I253"/>
      <c r="K253"/>
    </row>
    <row r="254" spans="1:11" x14ac:dyDescent="0.2">
      <c r="A254" s="2">
        <v>14</v>
      </c>
      <c r="B254" s="5">
        <v>0</v>
      </c>
      <c r="C254" s="5">
        <v>0</v>
      </c>
      <c r="D254" s="5">
        <v>0</v>
      </c>
      <c r="E254" s="5">
        <v>0</v>
      </c>
      <c r="I254"/>
      <c r="K254"/>
    </row>
    <row r="255" spans="1:11" x14ac:dyDescent="0.2">
      <c r="A255" s="2">
        <v>15</v>
      </c>
      <c r="B255" s="5">
        <v>0</v>
      </c>
      <c r="C255" s="5">
        <v>0</v>
      </c>
      <c r="D255" s="5">
        <v>0</v>
      </c>
      <c r="E255" s="5">
        <v>0</v>
      </c>
      <c r="I255"/>
      <c r="K255"/>
    </row>
    <row r="256" spans="1:11" x14ac:dyDescent="0.2">
      <c r="A256" s="2">
        <v>16</v>
      </c>
      <c r="B256" s="5">
        <v>0</v>
      </c>
      <c r="C256" s="5">
        <v>0</v>
      </c>
      <c r="D256" s="5">
        <v>0</v>
      </c>
      <c r="E256" s="5">
        <v>0</v>
      </c>
      <c r="I256"/>
      <c r="K256"/>
    </row>
    <row r="257" spans="1:11" x14ac:dyDescent="0.2">
      <c r="A257" s="2">
        <v>17</v>
      </c>
      <c r="B257" s="5">
        <v>0</v>
      </c>
      <c r="C257" s="6">
        <v>0</v>
      </c>
      <c r="D257" s="6">
        <v>0</v>
      </c>
      <c r="E257" s="6">
        <v>0</v>
      </c>
      <c r="I257"/>
      <c r="K257"/>
    </row>
    <row r="258" spans="1:11" x14ac:dyDescent="0.2">
      <c r="A258" s="3" t="s">
        <v>8</v>
      </c>
      <c r="B258" s="10">
        <f>SUM(B253:B257)</f>
        <v>0</v>
      </c>
      <c r="C258" s="10">
        <f>SUM(C253:C257)</f>
        <v>0</v>
      </c>
      <c r="D258" s="10">
        <f>SUM(D253:D257)</f>
        <v>0</v>
      </c>
      <c r="E258" s="10">
        <f>SUM(E253:E257)</f>
        <v>0</v>
      </c>
      <c r="I258"/>
      <c r="K258"/>
    </row>
    <row r="259" spans="1:11" x14ac:dyDescent="0.2">
      <c r="A259" s="2"/>
      <c r="B259" s="2"/>
      <c r="C259" s="2"/>
      <c r="D259" s="2"/>
      <c r="E259" s="2"/>
      <c r="I259"/>
      <c r="K259"/>
    </row>
    <row r="260" spans="1:11" x14ac:dyDescent="0.2">
      <c r="A260" s="2">
        <v>20</v>
      </c>
      <c r="B260" s="5">
        <v>0</v>
      </c>
      <c r="C260" s="5">
        <v>0</v>
      </c>
      <c r="D260" s="5">
        <v>0</v>
      </c>
      <c r="E260" s="5">
        <v>0</v>
      </c>
      <c r="I260"/>
      <c r="K260"/>
    </row>
    <row r="261" spans="1:11" x14ac:dyDescent="0.2">
      <c r="A261" s="2">
        <v>21</v>
      </c>
      <c r="B261" s="5">
        <v>0</v>
      </c>
      <c r="C261" s="5">
        <v>0</v>
      </c>
      <c r="D261" s="5">
        <v>0</v>
      </c>
      <c r="E261" s="5">
        <v>0</v>
      </c>
      <c r="I261"/>
      <c r="K261"/>
    </row>
    <row r="262" spans="1:11" x14ac:dyDescent="0.2">
      <c r="A262" s="2">
        <v>22</v>
      </c>
      <c r="B262" s="5">
        <v>0</v>
      </c>
      <c r="C262" s="5">
        <v>0</v>
      </c>
      <c r="D262" s="5">
        <v>0</v>
      </c>
      <c r="E262" s="5">
        <v>0</v>
      </c>
      <c r="I262"/>
      <c r="K262"/>
    </row>
    <row r="263" spans="1:11" x14ac:dyDescent="0.2">
      <c r="A263" s="2">
        <v>23</v>
      </c>
      <c r="B263" s="5">
        <v>0</v>
      </c>
      <c r="C263" s="5">
        <v>0</v>
      </c>
      <c r="D263" s="5">
        <v>0</v>
      </c>
      <c r="E263" s="5">
        <v>0</v>
      </c>
      <c r="I263"/>
      <c r="K263"/>
    </row>
    <row r="264" spans="1:11" x14ac:dyDescent="0.2">
      <c r="A264" s="2">
        <v>24</v>
      </c>
      <c r="B264" s="5">
        <v>0</v>
      </c>
      <c r="C264" s="6">
        <v>0</v>
      </c>
      <c r="D264" s="6">
        <v>0</v>
      </c>
      <c r="E264" s="6">
        <v>0</v>
      </c>
      <c r="I264"/>
      <c r="K264"/>
    </row>
    <row r="265" spans="1:11" x14ac:dyDescent="0.2">
      <c r="A265" s="3" t="s">
        <v>8</v>
      </c>
      <c r="B265" s="10">
        <f>SUM(B260:B264)</f>
        <v>0</v>
      </c>
      <c r="C265" s="10">
        <f>SUM(C260:C264)</f>
        <v>0</v>
      </c>
      <c r="D265" s="10">
        <f>SUM(D260:D264)</f>
        <v>0</v>
      </c>
      <c r="E265" s="10">
        <f>SUM(E260:E264)</f>
        <v>0</v>
      </c>
      <c r="I265"/>
      <c r="K265"/>
    </row>
    <row r="266" spans="1:11" x14ac:dyDescent="0.2">
      <c r="A266" s="2"/>
      <c r="B266" s="2"/>
      <c r="C266" s="2"/>
      <c r="D266" s="2"/>
      <c r="E266" s="2"/>
      <c r="I266"/>
      <c r="K266"/>
    </row>
    <row r="267" spans="1:11" x14ac:dyDescent="0.2">
      <c r="A267" s="2">
        <v>27</v>
      </c>
      <c r="B267" s="5">
        <v>0</v>
      </c>
      <c r="C267" s="5">
        <v>0</v>
      </c>
      <c r="D267" s="5">
        <v>0</v>
      </c>
      <c r="E267" s="5">
        <v>0</v>
      </c>
      <c r="I267"/>
      <c r="K267"/>
    </row>
    <row r="268" spans="1:11" x14ac:dyDescent="0.2">
      <c r="A268" s="2">
        <v>28</v>
      </c>
      <c r="B268" s="5">
        <v>0</v>
      </c>
      <c r="C268" s="5">
        <v>0</v>
      </c>
      <c r="D268" s="5">
        <v>0</v>
      </c>
      <c r="E268" s="5">
        <v>0</v>
      </c>
      <c r="I268"/>
      <c r="K268"/>
    </row>
    <row r="269" spans="1:11" x14ac:dyDescent="0.2">
      <c r="A269" s="2">
        <v>29</v>
      </c>
      <c r="B269" s="5">
        <v>0</v>
      </c>
      <c r="C269" s="5">
        <v>0</v>
      </c>
      <c r="D269" s="5">
        <v>0</v>
      </c>
      <c r="E269" s="5">
        <v>0</v>
      </c>
      <c r="I269"/>
      <c r="K269"/>
    </row>
    <row r="270" spans="1:11" x14ac:dyDescent="0.2">
      <c r="A270" s="2">
        <v>30</v>
      </c>
      <c r="B270" s="5">
        <v>0</v>
      </c>
      <c r="C270" s="5">
        <v>0</v>
      </c>
      <c r="D270" s="5">
        <v>0</v>
      </c>
      <c r="E270" s="5">
        <v>0</v>
      </c>
      <c r="I270"/>
      <c r="K270"/>
    </row>
    <row r="271" spans="1:11" x14ac:dyDescent="0.2">
      <c r="A271" s="2"/>
      <c r="B271" s="5">
        <v>0</v>
      </c>
      <c r="C271" s="6">
        <v>0</v>
      </c>
      <c r="D271" s="6">
        <v>0</v>
      </c>
      <c r="E271" s="6">
        <v>0</v>
      </c>
      <c r="I271"/>
      <c r="K271"/>
    </row>
    <row r="272" spans="1:11" x14ac:dyDescent="0.2">
      <c r="A272" s="3" t="s">
        <v>8</v>
      </c>
      <c r="B272" s="10">
        <f>SUM(B267:B271)</f>
        <v>0</v>
      </c>
      <c r="C272" s="10">
        <f>SUM(C267:C271)</f>
        <v>0</v>
      </c>
      <c r="D272" s="10">
        <f>SUM(D267:D271)</f>
        <v>0</v>
      </c>
      <c r="E272" s="10">
        <f>SUM(E267:E271)</f>
        <v>0</v>
      </c>
      <c r="I272"/>
      <c r="K272"/>
    </row>
    <row r="273" spans="1:11" x14ac:dyDescent="0.2">
      <c r="A273" s="2"/>
      <c r="B273" s="2"/>
      <c r="C273" s="2"/>
      <c r="D273" s="2"/>
      <c r="E273" s="2"/>
      <c r="I273"/>
      <c r="K273"/>
    </row>
    <row r="274" spans="1:11" x14ac:dyDescent="0.2">
      <c r="A274" s="2" t="s">
        <v>9</v>
      </c>
      <c r="B274" s="2">
        <v>0</v>
      </c>
      <c r="C274" s="2">
        <v>0</v>
      </c>
      <c r="D274" s="2">
        <v>0</v>
      </c>
      <c r="E274" s="2">
        <v>0</v>
      </c>
      <c r="I274"/>
      <c r="K274"/>
    </row>
    <row r="275" spans="1:11" x14ac:dyDescent="0.2">
      <c r="A275" s="2" t="s">
        <v>10</v>
      </c>
      <c r="B275" s="2">
        <v>0</v>
      </c>
      <c r="C275" s="9">
        <v>0</v>
      </c>
      <c r="D275" s="9">
        <v>0</v>
      </c>
      <c r="E275" s="9">
        <v>0</v>
      </c>
      <c r="I275"/>
      <c r="K275"/>
    </row>
    <row r="276" spans="1:11" x14ac:dyDescent="0.2">
      <c r="A276" s="2"/>
      <c r="B276" s="2"/>
      <c r="C276" s="2"/>
      <c r="D276" s="2"/>
      <c r="E276" s="2"/>
      <c r="I276"/>
      <c r="K276"/>
    </row>
    <row r="277" spans="1:11" x14ac:dyDescent="0.2">
      <c r="A277" s="3" t="s">
        <v>6</v>
      </c>
      <c r="B277" s="10">
        <f>+B244+B251+B258+B265+B272+B274+B275</f>
        <v>0</v>
      </c>
      <c r="C277" s="10">
        <f>+C272+C265+C258+C251+C244</f>
        <v>0</v>
      </c>
      <c r="D277" s="10">
        <f>+D272+D265+D258+D251+D244</f>
        <v>0</v>
      </c>
      <c r="E277" s="10">
        <f>+E272+E265+E258+E251+E244</f>
        <v>0</v>
      </c>
      <c r="I277"/>
      <c r="K277"/>
    </row>
    <row r="278" spans="1:11" x14ac:dyDescent="0.2">
      <c r="B278" s="1"/>
      <c r="C278" s="1"/>
      <c r="D278" s="1"/>
      <c r="I278"/>
      <c r="K278"/>
    </row>
    <row r="279" spans="1:11" x14ac:dyDescent="0.2">
      <c r="A279" s="26"/>
      <c r="B279" s="26"/>
      <c r="C279" s="26"/>
      <c r="D279" s="26"/>
      <c r="I279"/>
      <c r="K279"/>
    </row>
    <row r="280" spans="1:11" x14ac:dyDescent="0.2">
      <c r="A280" s="11" t="s">
        <v>25</v>
      </c>
      <c r="B280" s="9"/>
      <c r="C280" s="2"/>
      <c r="D280" s="2"/>
      <c r="I280"/>
      <c r="K280"/>
    </row>
    <row r="281" spans="1:11" x14ac:dyDescent="0.2">
      <c r="A281" s="9"/>
      <c r="B281" s="9"/>
      <c r="C281" s="2"/>
      <c r="D281" s="2"/>
      <c r="I281"/>
      <c r="K281"/>
    </row>
    <row r="282" spans="1:11" x14ac:dyDescent="0.2">
      <c r="A282" s="2"/>
      <c r="B282" s="2"/>
      <c r="C282" s="2"/>
      <c r="D282" s="2"/>
      <c r="I282"/>
      <c r="K282"/>
    </row>
    <row r="283" spans="1:11" x14ac:dyDescent="0.2">
      <c r="A283" s="4"/>
      <c r="B283" s="11" t="s">
        <v>47</v>
      </c>
      <c r="C283" s="11" t="s">
        <v>46</v>
      </c>
      <c r="D283" s="11" t="s">
        <v>48</v>
      </c>
      <c r="E283" s="11" t="s">
        <v>49</v>
      </c>
      <c r="I283"/>
      <c r="K283"/>
    </row>
    <row r="284" spans="1:11" x14ac:dyDescent="0.2">
      <c r="A284" s="2"/>
      <c r="B284" s="2"/>
      <c r="C284" s="2"/>
      <c r="D284" s="2"/>
      <c r="E284" s="2"/>
      <c r="I284"/>
      <c r="K284"/>
    </row>
    <row r="285" spans="1:11" x14ac:dyDescent="0.2">
      <c r="A285" s="2"/>
      <c r="B285" s="5">
        <v>0</v>
      </c>
      <c r="C285" s="5">
        <v>0</v>
      </c>
      <c r="D285" s="5">
        <v>0</v>
      </c>
      <c r="E285" s="5">
        <v>0</v>
      </c>
      <c r="I285"/>
      <c r="K285"/>
    </row>
    <row r="286" spans="1:11" x14ac:dyDescent="0.2">
      <c r="A286" s="2"/>
      <c r="B286" s="5">
        <v>0</v>
      </c>
      <c r="C286" s="5">
        <v>0</v>
      </c>
      <c r="D286" s="5">
        <v>0</v>
      </c>
      <c r="E286" s="5">
        <v>0</v>
      </c>
      <c r="I286"/>
      <c r="K286"/>
    </row>
    <row r="287" spans="1:11" x14ac:dyDescent="0.2">
      <c r="A287" s="2"/>
      <c r="B287" s="5">
        <v>0</v>
      </c>
      <c r="C287" s="5">
        <v>0</v>
      </c>
      <c r="D287" s="5">
        <v>0</v>
      </c>
      <c r="E287" s="5">
        <v>0</v>
      </c>
      <c r="I287"/>
      <c r="K287"/>
    </row>
    <row r="288" spans="1:11" x14ac:dyDescent="0.2">
      <c r="A288" s="7"/>
      <c r="B288" s="5">
        <v>0</v>
      </c>
      <c r="C288" s="5">
        <v>0</v>
      </c>
      <c r="D288" s="5">
        <v>0</v>
      </c>
      <c r="E288" s="5">
        <v>0</v>
      </c>
      <c r="I288"/>
      <c r="K288"/>
    </row>
    <row r="289" spans="1:11" x14ac:dyDescent="0.2">
      <c r="A289" s="7">
        <v>1</v>
      </c>
      <c r="B289" s="6">
        <v>0</v>
      </c>
      <c r="C289" s="6">
        <v>0</v>
      </c>
      <c r="D289" s="6">
        <v>0</v>
      </c>
      <c r="E289" s="6">
        <v>0</v>
      </c>
      <c r="I289"/>
      <c r="K289"/>
    </row>
    <row r="290" spans="1:11" x14ac:dyDescent="0.2">
      <c r="A290" s="3" t="s">
        <v>8</v>
      </c>
      <c r="B290" s="10">
        <f>SUM(B285:B289)</f>
        <v>0</v>
      </c>
      <c r="C290" s="10">
        <f>SUM(C285:C289)</f>
        <v>0</v>
      </c>
      <c r="D290" s="10">
        <f>SUM(D285:D289)</f>
        <v>0</v>
      </c>
      <c r="E290" s="10">
        <f>SUM(E285:E289)</f>
        <v>0</v>
      </c>
      <c r="I290"/>
      <c r="K290"/>
    </row>
    <row r="291" spans="1:11" x14ac:dyDescent="0.2">
      <c r="A291" s="2"/>
      <c r="B291" s="2"/>
      <c r="C291" s="2"/>
      <c r="D291" s="2"/>
      <c r="E291" s="2"/>
      <c r="I291"/>
      <c r="K291"/>
    </row>
    <row r="292" spans="1:11" x14ac:dyDescent="0.2">
      <c r="A292" s="7">
        <v>4</v>
      </c>
      <c r="B292" s="5">
        <v>0</v>
      </c>
      <c r="C292" s="5">
        <v>0</v>
      </c>
      <c r="D292" s="5">
        <v>0</v>
      </c>
      <c r="E292" s="5">
        <v>0</v>
      </c>
      <c r="I292"/>
      <c r="K292"/>
    </row>
    <row r="293" spans="1:11" x14ac:dyDescent="0.2">
      <c r="A293" s="7">
        <v>5</v>
      </c>
      <c r="B293" s="5">
        <v>0</v>
      </c>
      <c r="C293" s="5">
        <v>0</v>
      </c>
      <c r="D293" s="5">
        <v>0</v>
      </c>
      <c r="E293" s="5">
        <v>0</v>
      </c>
      <c r="I293"/>
      <c r="K293"/>
    </row>
    <row r="294" spans="1:11" x14ac:dyDescent="0.2">
      <c r="A294" s="7">
        <v>6</v>
      </c>
      <c r="B294" s="5">
        <v>0</v>
      </c>
      <c r="C294" s="5">
        <v>0</v>
      </c>
      <c r="D294" s="5">
        <v>0</v>
      </c>
      <c r="E294" s="5">
        <v>0</v>
      </c>
      <c r="I294"/>
      <c r="K294"/>
    </row>
    <row r="295" spans="1:11" x14ac:dyDescent="0.2">
      <c r="A295" s="7">
        <v>7</v>
      </c>
      <c r="B295" s="5">
        <v>0</v>
      </c>
      <c r="C295" s="5">
        <v>0</v>
      </c>
      <c r="D295" s="5">
        <v>0</v>
      </c>
      <c r="E295" s="5">
        <v>0</v>
      </c>
      <c r="I295"/>
      <c r="K295"/>
    </row>
    <row r="296" spans="1:11" x14ac:dyDescent="0.2">
      <c r="A296" s="8">
        <v>8</v>
      </c>
      <c r="B296" s="5">
        <v>0</v>
      </c>
      <c r="C296" s="6">
        <v>0</v>
      </c>
      <c r="D296" s="6">
        <v>0</v>
      </c>
      <c r="E296" s="6">
        <v>0</v>
      </c>
      <c r="I296"/>
      <c r="K296"/>
    </row>
    <row r="297" spans="1:11" x14ac:dyDescent="0.2">
      <c r="A297" s="3" t="s">
        <v>8</v>
      </c>
      <c r="B297" s="10">
        <f>SUM(B292:B296)</f>
        <v>0</v>
      </c>
      <c r="C297" s="10">
        <f>SUM(C292:C296)</f>
        <v>0</v>
      </c>
      <c r="D297" s="10">
        <f>SUM(D292:D296)</f>
        <v>0</v>
      </c>
      <c r="E297" s="10">
        <f>SUM(E292:E296)</f>
        <v>0</v>
      </c>
      <c r="I297"/>
      <c r="K297"/>
    </row>
    <row r="298" spans="1:11" x14ac:dyDescent="0.2">
      <c r="A298" s="2"/>
      <c r="B298" s="2"/>
      <c r="C298" s="2"/>
      <c r="D298" s="2"/>
      <c r="E298" s="2"/>
      <c r="I298"/>
      <c r="K298"/>
    </row>
    <row r="299" spans="1:11" x14ac:dyDescent="0.2">
      <c r="A299" s="2">
        <v>11</v>
      </c>
      <c r="B299" s="5">
        <v>0</v>
      </c>
      <c r="C299" s="5">
        <v>0</v>
      </c>
      <c r="D299" s="5">
        <v>0</v>
      </c>
      <c r="E299" s="5">
        <v>0</v>
      </c>
      <c r="I299"/>
      <c r="K299"/>
    </row>
    <row r="300" spans="1:11" x14ac:dyDescent="0.2">
      <c r="A300" s="2">
        <v>12</v>
      </c>
      <c r="B300" s="5">
        <v>0</v>
      </c>
      <c r="C300" s="5">
        <v>0</v>
      </c>
      <c r="D300" s="5">
        <v>0</v>
      </c>
      <c r="E300" s="5">
        <v>0</v>
      </c>
      <c r="I300"/>
      <c r="K300"/>
    </row>
    <row r="301" spans="1:11" x14ac:dyDescent="0.2">
      <c r="A301" s="2">
        <v>13</v>
      </c>
      <c r="B301" s="5">
        <v>0</v>
      </c>
      <c r="C301" s="5">
        <v>0</v>
      </c>
      <c r="D301" s="5">
        <v>0</v>
      </c>
      <c r="E301" s="5">
        <v>0</v>
      </c>
      <c r="I301"/>
      <c r="K301"/>
    </row>
    <row r="302" spans="1:11" x14ac:dyDescent="0.2">
      <c r="A302" s="2">
        <v>14</v>
      </c>
      <c r="B302" s="5">
        <v>0</v>
      </c>
      <c r="C302" s="5">
        <v>0</v>
      </c>
      <c r="D302" s="5">
        <v>0</v>
      </c>
      <c r="E302" s="5">
        <v>0</v>
      </c>
      <c r="I302"/>
      <c r="K302"/>
    </row>
    <row r="303" spans="1:11" x14ac:dyDescent="0.2">
      <c r="A303" s="2">
        <v>15</v>
      </c>
      <c r="B303" s="5">
        <v>0</v>
      </c>
      <c r="C303" s="6">
        <v>0</v>
      </c>
      <c r="D303" s="6">
        <v>0</v>
      </c>
      <c r="E303" s="6">
        <v>0</v>
      </c>
      <c r="I303"/>
      <c r="K303"/>
    </row>
    <row r="304" spans="1:11" x14ac:dyDescent="0.2">
      <c r="A304" s="3" t="s">
        <v>8</v>
      </c>
      <c r="B304" s="10">
        <f>SUM(B299:B303)</f>
        <v>0</v>
      </c>
      <c r="C304" s="10">
        <f>SUM(C299:C303)</f>
        <v>0</v>
      </c>
      <c r="D304" s="10">
        <f>SUM(D299:D303)</f>
        <v>0</v>
      </c>
      <c r="E304" s="10">
        <f>SUM(E299:E303)</f>
        <v>0</v>
      </c>
      <c r="I304"/>
      <c r="K304"/>
    </row>
    <row r="305" spans="1:11" x14ac:dyDescent="0.2">
      <c r="A305" s="2"/>
      <c r="B305" s="2"/>
      <c r="C305" s="2"/>
      <c r="D305" s="2"/>
      <c r="E305" s="2"/>
      <c r="I305"/>
      <c r="K305"/>
    </row>
    <row r="306" spans="1:11" x14ac:dyDescent="0.2">
      <c r="A306" s="2">
        <v>18</v>
      </c>
      <c r="B306" s="5">
        <v>0</v>
      </c>
      <c r="C306" s="5">
        <v>0</v>
      </c>
      <c r="D306" s="5">
        <v>0</v>
      </c>
      <c r="E306" s="5">
        <v>0</v>
      </c>
      <c r="I306"/>
      <c r="K306"/>
    </row>
    <row r="307" spans="1:11" x14ac:dyDescent="0.2">
      <c r="A307" s="2">
        <v>19</v>
      </c>
      <c r="B307" s="5">
        <v>0</v>
      </c>
      <c r="C307" s="5">
        <v>0</v>
      </c>
      <c r="D307" s="5">
        <v>0</v>
      </c>
      <c r="E307" s="5">
        <v>0</v>
      </c>
      <c r="I307"/>
      <c r="K307"/>
    </row>
    <row r="308" spans="1:11" x14ac:dyDescent="0.2">
      <c r="A308" s="2">
        <v>20</v>
      </c>
      <c r="B308" s="5">
        <v>0</v>
      </c>
      <c r="C308" s="5">
        <v>0</v>
      </c>
      <c r="D308" s="5">
        <v>0</v>
      </c>
      <c r="E308" s="5">
        <v>0</v>
      </c>
      <c r="I308"/>
      <c r="K308"/>
    </row>
    <row r="309" spans="1:11" x14ac:dyDescent="0.2">
      <c r="A309" s="2">
        <v>21</v>
      </c>
      <c r="B309" s="5">
        <v>0</v>
      </c>
      <c r="C309" s="5">
        <v>0</v>
      </c>
      <c r="D309" s="5">
        <v>0</v>
      </c>
      <c r="E309" s="5">
        <v>0</v>
      </c>
      <c r="I309"/>
      <c r="K309"/>
    </row>
    <row r="310" spans="1:11" x14ac:dyDescent="0.2">
      <c r="A310" s="2">
        <v>22</v>
      </c>
      <c r="B310" s="5">
        <v>0</v>
      </c>
      <c r="C310" s="6">
        <v>0</v>
      </c>
      <c r="D310" s="6">
        <v>0</v>
      </c>
      <c r="E310" s="6">
        <v>0</v>
      </c>
      <c r="I310"/>
      <c r="K310"/>
    </row>
    <row r="311" spans="1:11" x14ac:dyDescent="0.2">
      <c r="A311" s="3" t="s">
        <v>8</v>
      </c>
      <c r="B311" s="10">
        <f>SUM(B306:B310)</f>
        <v>0</v>
      </c>
      <c r="C311" s="10">
        <f>SUM(C306:C310)</f>
        <v>0</v>
      </c>
      <c r="D311" s="10">
        <f>SUM(D306:D310)</f>
        <v>0</v>
      </c>
      <c r="E311" s="10">
        <f>SUM(E306:E310)</f>
        <v>0</v>
      </c>
      <c r="I311"/>
      <c r="K311"/>
    </row>
    <row r="312" spans="1:11" x14ac:dyDescent="0.2">
      <c r="A312" s="2"/>
      <c r="B312" s="2"/>
      <c r="C312" s="2"/>
      <c r="D312" s="2"/>
      <c r="E312" s="2"/>
      <c r="I312"/>
      <c r="K312"/>
    </row>
    <row r="313" spans="1:11" x14ac:dyDescent="0.2">
      <c r="A313" s="2">
        <v>25</v>
      </c>
      <c r="B313" s="5">
        <v>0</v>
      </c>
      <c r="C313" s="5">
        <v>0</v>
      </c>
      <c r="D313" s="5">
        <v>0</v>
      </c>
      <c r="E313" s="5">
        <v>0</v>
      </c>
      <c r="I313"/>
      <c r="K313"/>
    </row>
    <row r="314" spans="1:11" x14ac:dyDescent="0.2">
      <c r="A314" s="2">
        <v>26</v>
      </c>
      <c r="B314" s="5">
        <v>0</v>
      </c>
      <c r="C314" s="5">
        <v>0</v>
      </c>
      <c r="D314" s="5">
        <v>0</v>
      </c>
      <c r="E314" s="5">
        <v>0</v>
      </c>
      <c r="I314"/>
      <c r="K314"/>
    </row>
    <row r="315" spans="1:11" x14ac:dyDescent="0.2">
      <c r="A315" s="2">
        <v>27</v>
      </c>
      <c r="B315" s="5">
        <v>0</v>
      </c>
      <c r="C315" s="5">
        <v>0</v>
      </c>
      <c r="D315" s="5">
        <v>0</v>
      </c>
      <c r="E315" s="5">
        <v>0</v>
      </c>
      <c r="I315"/>
      <c r="K315"/>
    </row>
    <row r="316" spans="1:11" x14ac:dyDescent="0.2">
      <c r="A316" s="2">
        <v>28</v>
      </c>
      <c r="B316" s="5">
        <v>0</v>
      </c>
      <c r="C316" s="5">
        <v>0</v>
      </c>
      <c r="D316" s="5">
        <v>0</v>
      </c>
      <c r="E316" s="5">
        <v>0</v>
      </c>
      <c r="I316"/>
      <c r="K316"/>
    </row>
    <row r="317" spans="1:11" x14ac:dyDescent="0.2">
      <c r="A317" s="2">
        <v>29</v>
      </c>
      <c r="B317" s="5">
        <v>0</v>
      </c>
      <c r="C317" s="6">
        <v>0</v>
      </c>
      <c r="D317" s="6">
        <v>0</v>
      </c>
      <c r="E317" s="6">
        <v>0</v>
      </c>
      <c r="I317"/>
      <c r="K317"/>
    </row>
    <row r="318" spans="1:11" x14ac:dyDescent="0.2">
      <c r="A318" s="3" t="s">
        <v>8</v>
      </c>
      <c r="B318" s="10">
        <f>SUM(B313:B317)</f>
        <v>0</v>
      </c>
      <c r="C318" s="10">
        <f>SUM(C313:C317)</f>
        <v>0</v>
      </c>
      <c r="D318" s="10">
        <f>SUM(D313:D317)</f>
        <v>0</v>
      </c>
      <c r="E318" s="10">
        <f>SUM(E313:E317)</f>
        <v>0</v>
      </c>
      <c r="I318"/>
      <c r="K318"/>
    </row>
    <row r="319" spans="1:11" x14ac:dyDescent="0.2">
      <c r="A319" s="2"/>
      <c r="B319" s="2"/>
      <c r="C319" s="2"/>
      <c r="D319" s="2"/>
      <c r="E319" s="2"/>
      <c r="I319"/>
      <c r="K319"/>
    </row>
    <row r="320" spans="1:11" x14ac:dyDescent="0.2">
      <c r="A320" s="2">
        <v>31</v>
      </c>
      <c r="B320" s="5">
        <v>0</v>
      </c>
      <c r="C320" s="6">
        <v>0</v>
      </c>
      <c r="D320" s="6">
        <v>0</v>
      </c>
      <c r="E320" s="6">
        <v>0</v>
      </c>
      <c r="I320"/>
      <c r="K320"/>
    </row>
    <row r="321" spans="1:11" x14ac:dyDescent="0.2">
      <c r="A321" s="3" t="s">
        <v>8</v>
      </c>
      <c r="B321" s="10">
        <f>SUM(B320:B320)</f>
        <v>0</v>
      </c>
      <c r="C321" s="10">
        <f t="shared" ref="C321:E321" si="2">SUM(C320:C320)</f>
        <v>0</v>
      </c>
      <c r="D321" s="10">
        <f t="shared" si="2"/>
        <v>0</v>
      </c>
      <c r="E321" s="10">
        <f t="shared" si="2"/>
        <v>0</v>
      </c>
      <c r="I321"/>
      <c r="K321"/>
    </row>
    <row r="322" spans="1:11" x14ac:dyDescent="0.2">
      <c r="A322" s="2"/>
      <c r="B322" s="2"/>
      <c r="C322" s="2"/>
      <c r="D322" s="2"/>
      <c r="E322" s="2"/>
      <c r="I322"/>
      <c r="K322"/>
    </row>
    <row r="323" spans="1:11" x14ac:dyDescent="0.2">
      <c r="A323" s="2" t="s">
        <v>9</v>
      </c>
      <c r="B323" s="2">
        <v>0</v>
      </c>
      <c r="C323" s="2">
        <v>0</v>
      </c>
      <c r="D323" s="2">
        <v>0</v>
      </c>
      <c r="E323" s="2">
        <v>0</v>
      </c>
      <c r="I323"/>
      <c r="K323"/>
    </row>
    <row r="324" spans="1:11" x14ac:dyDescent="0.2">
      <c r="A324" s="2" t="s">
        <v>10</v>
      </c>
      <c r="B324" s="2">
        <v>0</v>
      </c>
      <c r="C324" s="9">
        <v>0</v>
      </c>
      <c r="D324" s="9">
        <v>0</v>
      </c>
      <c r="E324" s="9">
        <v>0</v>
      </c>
      <c r="I324"/>
      <c r="K324"/>
    </row>
    <row r="325" spans="1:11" x14ac:dyDescent="0.2">
      <c r="A325" s="2"/>
      <c r="B325" s="2"/>
      <c r="C325" s="2"/>
      <c r="D325" s="2"/>
      <c r="E325" s="2"/>
      <c r="I325"/>
      <c r="K325"/>
    </row>
    <row r="326" spans="1:11" x14ac:dyDescent="0.2">
      <c r="A326" s="3" t="s">
        <v>6</v>
      </c>
      <c r="B326" s="10">
        <f>+B290+B297+B304+B311+B318+B323+B324+B321</f>
        <v>0</v>
      </c>
      <c r="C326" s="10">
        <f t="shared" ref="C326:E326" si="3">+C290+C297+C304+C311+C318+C323+C324+C321</f>
        <v>0</v>
      </c>
      <c r="D326" s="10">
        <f t="shared" si="3"/>
        <v>0</v>
      </c>
      <c r="E326" s="10">
        <f t="shared" si="3"/>
        <v>0</v>
      </c>
      <c r="I326"/>
      <c r="K326"/>
    </row>
    <row r="327" spans="1:11" x14ac:dyDescent="0.2">
      <c r="B327" s="1"/>
      <c r="C327" s="1"/>
      <c r="D327" s="1"/>
      <c r="I327"/>
      <c r="K327"/>
    </row>
    <row r="328" spans="1:11" x14ac:dyDescent="0.2">
      <c r="A328" s="26"/>
      <c r="B328" s="26"/>
      <c r="C328" s="26"/>
      <c r="D328" s="26"/>
      <c r="I328"/>
      <c r="K328"/>
    </row>
    <row r="329" spans="1:11" x14ac:dyDescent="0.2">
      <c r="A329" s="11" t="s">
        <v>26</v>
      </c>
      <c r="B329" s="9"/>
      <c r="C329" s="2"/>
      <c r="D329" s="2"/>
      <c r="I329"/>
      <c r="K329"/>
    </row>
    <row r="330" spans="1:11" x14ac:dyDescent="0.2">
      <c r="A330" s="9"/>
      <c r="B330" s="9"/>
      <c r="C330" s="2"/>
      <c r="D330" s="2"/>
      <c r="I330"/>
      <c r="K330"/>
    </row>
    <row r="331" spans="1:11" x14ac:dyDescent="0.2">
      <c r="A331" s="2"/>
      <c r="B331" s="2"/>
      <c r="C331" s="2"/>
      <c r="D331" s="2"/>
      <c r="I331"/>
      <c r="K331"/>
    </row>
    <row r="332" spans="1:11" x14ac:dyDescent="0.2">
      <c r="A332" s="4"/>
      <c r="B332" s="11" t="s">
        <v>47</v>
      </c>
      <c r="C332" s="11" t="s">
        <v>46</v>
      </c>
      <c r="D332" s="11" t="s">
        <v>48</v>
      </c>
      <c r="E332" s="11" t="s">
        <v>49</v>
      </c>
      <c r="I332"/>
      <c r="K332"/>
    </row>
    <row r="333" spans="1:11" x14ac:dyDescent="0.2">
      <c r="A333" s="2"/>
      <c r="B333" s="2"/>
      <c r="C333" s="2"/>
      <c r="D333" s="2"/>
      <c r="E333" s="2"/>
      <c r="I333"/>
      <c r="K333"/>
    </row>
    <row r="334" spans="1:11" x14ac:dyDescent="0.2">
      <c r="A334" s="2">
        <v>1</v>
      </c>
      <c r="B334" s="5">
        <v>0</v>
      </c>
      <c r="C334" s="5">
        <v>0</v>
      </c>
      <c r="D334" s="5">
        <v>0</v>
      </c>
      <c r="E334" s="5">
        <v>0</v>
      </c>
      <c r="I334"/>
      <c r="K334"/>
    </row>
    <row r="335" spans="1:11" x14ac:dyDescent="0.2">
      <c r="A335" s="2">
        <v>2</v>
      </c>
      <c r="B335" s="5">
        <v>0</v>
      </c>
      <c r="C335" s="5">
        <v>0</v>
      </c>
      <c r="D335" s="5">
        <v>0</v>
      </c>
      <c r="E335" s="5">
        <v>0</v>
      </c>
      <c r="I335"/>
      <c r="K335"/>
    </row>
    <row r="336" spans="1:11" x14ac:dyDescent="0.2">
      <c r="A336" s="2">
        <v>3</v>
      </c>
      <c r="B336" s="5">
        <v>0</v>
      </c>
      <c r="C336" s="5">
        <v>0</v>
      </c>
      <c r="D336" s="5">
        <v>0</v>
      </c>
      <c r="E336" s="5">
        <v>0</v>
      </c>
      <c r="I336"/>
      <c r="K336"/>
    </row>
    <row r="337" spans="1:11" x14ac:dyDescent="0.2">
      <c r="A337" s="7">
        <v>4</v>
      </c>
      <c r="B337" s="5">
        <v>0</v>
      </c>
      <c r="C337" s="5">
        <v>0</v>
      </c>
      <c r="D337" s="5">
        <v>0</v>
      </c>
      <c r="E337" s="5">
        <v>0</v>
      </c>
      <c r="I337"/>
      <c r="K337"/>
    </row>
    <row r="338" spans="1:11" x14ac:dyDescent="0.2">
      <c r="A338" s="7">
        <v>5</v>
      </c>
      <c r="B338" s="6">
        <v>0</v>
      </c>
      <c r="C338" s="6">
        <v>0</v>
      </c>
      <c r="D338" s="6">
        <v>0</v>
      </c>
      <c r="E338" s="6">
        <v>0</v>
      </c>
      <c r="I338"/>
      <c r="K338"/>
    </row>
    <row r="339" spans="1:11" x14ac:dyDescent="0.2">
      <c r="A339" s="3" t="s">
        <v>8</v>
      </c>
      <c r="B339" s="10">
        <f>SUM(B334:B338)</f>
        <v>0</v>
      </c>
      <c r="C339" s="10">
        <f>SUM(C334:C338)</f>
        <v>0</v>
      </c>
      <c r="D339" s="10">
        <f>SUM(D334:D338)</f>
        <v>0</v>
      </c>
      <c r="E339" s="10">
        <f>SUM(E334:E338)</f>
        <v>0</v>
      </c>
      <c r="I339"/>
      <c r="K339"/>
    </row>
    <row r="340" spans="1:11" x14ac:dyDescent="0.2">
      <c r="A340" s="2"/>
      <c r="B340" s="2"/>
      <c r="C340" s="2"/>
      <c r="D340" s="2"/>
      <c r="E340" s="2"/>
      <c r="I340"/>
      <c r="K340"/>
    </row>
    <row r="341" spans="1:11" x14ac:dyDescent="0.2">
      <c r="A341" s="7">
        <v>8</v>
      </c>
      <c r="B341" s="5">
        <v>0</v>
      </c>
      <c r="C341" s="5">
        <v>0</v>
      </c>
      <c r="D341" s="5">
        <v>0</v>
      </c>
      <c r="E341" s="5">
        <v>0</v>
      </c>
      <c r="I341"/>
      <c r="K341"/>
    </row>
    <row r="342" spans="1:11" x14ac:dyDescent="0.2">
      <c r="A342" s="7">
        <v>9</v>
      </c>
      <c r="B342" s="5">
        <v>0</v>
      </c>
      <c r="C342" s="5">
        <v>0</v>
      </c>
      <c r="D342" s="5">
        <v>0</v>
      </c>
      <c r="E342" s="5">
        <v>0</v>
      </c>
      <c r="I342"/>
      <c r="K342"/>
    </row>
    <row r="343" spans="1:11" x14ac:dyDescent="0.2">
      <c r="A343" s="7">
        <v>10</v>
      </c>
      <c r="B343" s="5">
        <v>0</v>
      </c>
      <c r="C343" s="5">
        <v>0</v>
      </c>
      <c r="D343" s="5">
        <v>0</v>
      </c>
      <c r="E343" s="5">
        <v>0</v>
      </c>
      <c r="I343"/>
      <c r="K343"/>
    </row>
    <row r="344" spans="1:11" x14ac:dyDescent="0.2">
      <c r="A344" s="7">
        <v>11</v>
      </c>
      <c r="B344" s="5">
        <v>0</v>
      </c>
      <c r="C344" s="5">
        <v>0</v>
      </c>
      <c r="D344" s="5">
        <v>0</v>
      </c>
      <c r="E344" s="5">
        <v>0</v>
      </c>
      <c r="I344"/>
      <c r="K344"/>
    </row>
    <row r="345" spans="1:11" x14ac:dyDescent="0.2">
      <c r="A345" s="8">
        <v>12</v>
      </c>
      <c r="B345" s="5">
        <v>0</v>
      </c>
      <c r="C345" s="6">
        <v>0</v>
      </c>
      <c r="D345" s="6">
        <v>0</v>
      </c>
      <c r="E345" s="6">
        <v>0</v>
      </c>
      <c r="I345"/>
      <c r="K345"/>
    </row>
    <row r="346" spans="1:11" x14ac:dyDescent="0.2">
      <c r="A346" s="3" t="s">
        <v>8</v>
      </c>
      <c r="B346" s="10">
        <f>SUM(B341:B345)</f>
        <v>0</v>
      </c>
      <c r="C346" s="10">
        <f>SUM(C341:C345)</f>
        <v>0</v>
      </c>
      <c r="D346" s="10">
        <f>SUM(D341:D345)</f>
        <v>0</v>
      </c>
      <c r="E346" s="10">
        <f>SUM(E341:E345)</f>
        <v>0</v>
      </c>
      <c r="I346"/>
      <c r="K346"/>
    </row>
    <row r="347" spans="1:11" x14ac:dyDescent="0.2">
      <c r="A347" s="2"/>
      <c r="B347" s="2"/>
      <c r="C347" s="2"/>
      <c r="D347" s="2"/>
      <c r="E347" s="2"/>
      <c r="I347"/>
      <c r="K347"/>
    </row>
    <row r="348" spans="1:11" x14ac:dyDescent="0.2">
      <c r="A348" s="2">
        <v>15</v>
      </c>
      <c r="B348" s="5">
        <v>0</v>
      </c>
      <c r="C348" s="5">
        <v>0</v>
      </c>
      <c r="D348" s="5">
        <v>0</v>
      </c>
      <c r="E348" s="5">
        <v>0</v>
      </c>
      <c r="I348"/>
      <c r="K348"/>
    </row>
    <row r="349" spans="1:11" x14ac:dyDescent="0.2">
      <c r="A349" s="2">
        <v>16</v>
      </c>
      <c r="B349" s="5">
        <v>0</v>
      </c>
      <c r="C349" s="5">
        <v>0</v>
      </c>
      <c r="D349" s="5">
        <v>0</v>
      </c>
      <c r="E349" s="5">
        <v>0</v>
      </c>
      <c r="I349"/>
      <c r="K349"/>
    </row>
    <row r="350" spans="1:11" x14ac:dyDescent="0.2">
      <c r="A350" s="2">
        <v>17</v>
      </c>
      <c r="B350" s="5">
        <v>0</v>
      </c>
      <c r="C350" s="5">
        <v>0</v>
      </c>
      <c r="D350" s="5">
        <v>0</v>
      </c>
      <c r="E350" s="5">
        <v>0</v>
      </c>
      <c r="I350"/>
      <c r="K350"/>
    </row>
    <row r="351" spans="1:11" x14ac:dyDescent="0.2">
      <c r="A351" s="2">
        <v>18</v>
      </c>
      <c r="B351" s="5">
        <v>0</v>
      </c>
      <c r="C351" s="5">
        <v>0</v>
      </c>
      <c r="D351" s="5">
        <v>0</v>
      </c>
      <c r="E351" s="5">
        <v>0</v>
      </c>
      <c r="I351"/>
      <c r="K351"/>
    </row>
    <row r="352" spans="1:11" x14ac:dyDescent="0.2">
      <c r="A352" s="2">
        <v>19</v>
      </c>
      <c r="B352" s="5">
        <v>0</v>
      </c>
      <c r="C352" s="6">
        <v>0</v>
      </c>
      <c r="D352" s="6">
        <v>0</v>
      </c>
      <c r="E352" s="6">
        <v>0</v>
      </c>
      <c r="I352"/>
      <c r="K352"/>
    </row>
    <row r="353" spans="1:11" x14ac:dyDescent="0.2">
      <c r="A353" s="3" t="s">
        <v>8</v>
      </c>
      <c r="B353" s="10">
        <f>SUM(B348:B352)</f>
        <v>0</v>
      </c>
      <c r="C353" s="10">
        <f>SUM(C348:C352)</f>
        <v>0</v>
      </c>
      <c r="D353" s="10">
        <f>SUM(D348:D352)</f>
        <v>0</v>
      </c>
      <c r="E353" s="10">
        <f>SUM(E348:E352)</f>
        <v>0</v>
      </c>
      <c r="I353"/>
      <c r="K353"/>
    </row>
    <row r="354" spans="1:11" x14ac:dyDescent="0.2">
      <c r="A354" s="2"/>
      <c r="B354" s="2"/>
      <c r="C354" s="2"/>
      <c r="D354" s="2"/>
      <c r="E354" s="2"/>
      <c r="I354"/>
      <c r="K354"/>
    </row>
    <row r="355" spans="1:11" x14ac:dyDescent="0.2">
      <c r="A355" s="2">
        <v>22</v>
      </c>
      <c r="B355" s="5">
        <v>0</v>
      </c>
      <c r="C355" s="5">
        <v>0</v>
      </c>
      <c r="D355" s="5">
        <v>0</v>
      </c>
      <c r="E355" s="5">
        <v>0</v>
      </c>
      <c r="I355"/>
      <c r="K355"/>
    </row>
    <row r="356" spans="1:11" x14ac:dyDescent="0.2">
      <c r="A356" s="2">
        <v>23</v>
      </c>
      <c r="B356" s="5">
        <v>0</v>
      </c>
      <c r="C356" s="5">
        <v>0</v>
      </c>
      <c r="D356" s="5">
        <v>0</v>
      </c>
      <c r="E356" s="5">
        <v>0</v>
      </c>
      <c r="I356"/>
      <c r="K356"/>
    </row>
    <row r="357" spans="1:11" x14ac:dyDescent="0.2">
      <c r="A357" s="2">
        <v>24</v>
      </c>
      <c r="B357" s="5">
        <v>0</v>
      </c>
      <c r="C357" s="5">
        <v>0</v>
      </c>
      <c r="D357" s="5">
        <v>0</v>
      </c>
      <c r="E357" s="5">
        <v>0</v>
      </c>
      <c r="I357"/>
      <c r="K357"/>
    </row>
    <row r="358" spans="1:11" x14ac:dyDescent="0.2">
      <c r="A358" s="2">
        <v>25</v>
      </c>
      <c r="B358" s="5">
        <v>0</v>
      </c>
      <c r="C358" s="5">
        <v>0</v>
      </c>
      <c r="D358" s="5">
        <v>0</v>
      </c>
      <c r="E358" s="5">
        <v>0</v>
      </c>
      <c r="I358"/>
      <c r="K358"/>
    </row>
    <row r="359" spans="1:11" x14ac:dyDescent="0.2">
      <c r="A359" s="2">
        <v>26</v>
      </c>
      <c r="B359" s="5">
        <v>0</v>
      </c>
      <c r="C359" s="6">
        <v>0</v>
      </c>
      <c r="D359" s="6">
        <v>0</v>
      </c>
      <c r="E359" s="6">
        <v>0</v>
      </c>
      <c r="I359"/>
      <c r="K359"/>
    </row>
    <row r="360" spans="1:11" x14ac:dyDescent="0.2">
      <c r="A360" s="3" t="s">
        <v>8</v>
      </c>
      <c r="B360" s="10">
        <f>SUM(B355:B359)</f>
        <v>0</v>
      </c>
      <c r="C360" s="10">
        <f>SUM(C355:C359)</f>
        <v>0</v>
      </c>
      <c r="D360" s="10">
        <f>SUM(D355:D359)</f>
        <v>0</v>
      </c>
      <c r="E360" s="10">
        <f>SUM(E355:E359)</f>
        <v>0</v>
      </c>
      <c r="I360"/>
      <c r="K360"/>
    </row>
    <row r="361" spans="1:11" x14ac:dyDescent="0.2">
      <c r="A361" s="2"/>
      <c r="B361" s="2"/>
      <c r="C361" s="2"/>
      <c r="D361" s="2"/>
      <c r="E361" s="2"/>
      <c r="I361"/>
      <c r="K361"/>
    </row>
    <row r="362" spans="1:11" x14ac:dyDescent="0.2">
      <c r="A362" s="2">
        <v>29</v>
      </c>
      <c r="B362" s="5">
        <v>0</v>
      </c>
      <c r="C362" s="5">
        <v>0</v>
      </c>
      <c r="D362" s="5">
        <v>0</v>
      </c>
      <c r="E362" s="5">
        <v>0</v>
      </c>
      <c r="I362"/>
      <c r="K362"/>
    </row>
    <row r="363" spans="1:11" x14ac:dyDescent="0.2">
      <c r="A363" s="2">
        <v>30</v>
      </c>
      <c r="B363" s="5">
        <v>0</v>
      </c>
      <c r="C363" s="5">
        <v>0</v>
      </c>
      <c r="D363" s="5">
        <v>0</v>
      </c>
      <c r="E363" s="5">
        <v>0</v>
      </c>
      <c r="I363"/>
      <c r="K363"/>
    </row>
    <row r="364" spans="1:11" x14ac:dyDescent="0.2">
      <c r="A364" s="2">
        <v>31</v>
      </c>
      <c r="B364" s="5">
        <v>0</v>
      </c>
      <c r="C364" s="5">
        <v>0</v>
      </c>
      <c r="D364" s="5">
        <v>0</v>
      </c>
      <c r="E364" s="5">
        <v>0</v>
      </c>
      <c r="I364"/>
      <c r="K364"/>
    </row>
    <row r="365" spans="1:11" x14ac:dyDescent="0.2">
      <c r="A365" s="2"/>
      <c r="B365" s="5">
        <v>0</v>
      </c>
      <c r="C365" s="5">
        <v>0</v>
      </c>
      <c r="D365" s="5">
        <v>0</v>
      </c>
      <c r="E365" s="5">
        <v>0</v>
      </c>
      <c r="I365"/>
      <c r="K365"/>
    </row>
    <row r="366" spans="1:11" x14ac:dyDescent="0.2">
      <c r="A366" s="2"/>
      <c r="B366" s="5">
        <v>0</v>
      </c>
      <c r="C366" s="6">
        <v>0</v>
      </c>
      <c r="D366" s="6">
        <v>0</v>
      </c>
      <c r="E366" s="6">
        <v>0</v>
      </c>
      <c r="I366"/>
      <c r="K366"/>
    </row>
    <row r="367" spans="1:11" x14ac:dyDescent="0.2">
      <c r="A367" s="3" t="s">
        <v>8</v>
      </c>
      <c r="B367" s="10">
        <f>SUM(B362:B366)</f>
        <v>0</v>
      </c>
      <c r="C367" s="10">
        <f>SUM(C362:C366)</f>
        <v>0</v>
      </c>
      <c r="D367" s="10">
        <f>SUM(D362:D366)</f>
        <v>0</v>
      </c>
      <c r="E367" s="10">
        <f>SUM(E362:E366)</f>
        <v>0</v>
      </c>
      <c r="I367"/>
      <c r="K367"/>
    </row>
    <row r="368" spans="1:11" x14ac:dyDescent="0.2">
      <c r="A368" s="2"/>
      <c r="B368" s="2"/>
      <c r="C368" s="2"/>
      <c r="D368" s="2"/>
      <c r="E368" s="2"/>
      <c r="I368"/>
      <c r="K368"/>
    </row>
    <row r="369" spans="1:11" x14ac:dyDescent="0.2">
      <c r="A369" s="2" t="s">
        <v>9</v>
      </c>
      <c r="B369" s="2">
        <v>0</v>
      </c>
      <c r="C369" s="2">
        <v>0</v>
      </c>
      <c r="D369" s="2">
        <v>0</v>
      </c>
      <c r="E369" s="2">
        <v>0</v>
      </c>
      <c r="I369"/>
      <c r="K369"/>
    </row>
    <row r="370" spans="1:11" x14ac:dyDescent="0.2">
      <c r="A370" s="2" t="s">
        <v>10</v>
      </c>
      <c r="B370" s="2">
        <v>0</v>
      </c>
      <c r="C370" s="9">
        <v>0</v>
      </c>
      <c r="D370" s="9">
        <v>0</v>
      </c>
      <c r="E370" s="9">
        <v>0</v>
      </c>
      <c r="I370"/>
      <c r="K370"/>
    </row>
    <row r="371" spans="1:11" x14ac:dyDescent="0.2">
      <c r="A371" s="2"/>
      <c r="B371" s="2"/>
      <c r="C371" s="2"/>
      <c r="D371" s="2"/>
      <c r="E371" s="2"/>
      <c r="I371"/>
      <c r="K371"/>
    </row>
    <row r="372" spans="1:11" x14ac:dyDescent="0.2">
      <c r="A372" s="3" t="s">
        <v>6</v>
      </c>
      <c r="B372" s="10">
        <f>+B339+B346+B353+B360+B367+B369+B370</f>
        <v>0</v>
      </c>
      <c r="C372" s="10">
        <f>+C367+C360+C353+C346+C339</f>
        <v>0</v>
      </c>
      <c r="D372" s="10">
        <f>+D367+D360+D353+D346+D339</f>
        <v>0</v>
      </c>
      <c r="E372" s="10">
        <f>+E367+E360+E353+E346+E339</f>
        <v>0</v>
      </c>
      <c r="I372"/>
      <c r="K372"/>
    </row>
    <row r="373" spans="1:11" x14ac:dyDescent="0.2">
      <c r="B373" s="1"/>
      <c r="C373" s="1"/>
      <c r="D373" s="1"/>
      <c r="I373"/>
      <c r="K373"/>
    </row>
    <row r="374" spans="1:11" x14ac:dyDescent="0.2">
      <c r="A374" s="26"/>
      <c r="B374" s="26"/>
      <c r="C374" s="26"/>
      <c r="D374" s="26"/>
      <c r="I374"/>
      <c r="K374"/>
    </row>
    <row r="375" spans="1:11" x14ac:dyDescent="0.2">
      <c r="A375" s="11" t="s">
        <v>27</v>
      </c>
      <c r="B375" s="9"/>
      <c r="C375" s="2"/>
      <c r="D375" s="2"/>
      <c r="I375"/>
      <c r="K375"/>
    </row>
    <row r="376" spans="1:11" x14ac:dyDescent="0.2">
      <c r="A376" s="9"/>
      <c r="B376" s="9"/>
      <c r="C376" s="2"/>
      <c r="D376" s="2"/>
      <c r="I376"/>
      <c r="K376"/>
    </row>
    <row r="377" spans="1:11" x14ac:dyDescent="0.2">
      <c r="A377" s="2"/>
      <c r="B377" s="2"/>
      <c r="C377" s="2"/>
      <c r="D377" s="2"/>
      <c r="I377"/>
      <c r="K377"/>
    </row>
    <row r="378" spans="1:11" x14ac:dyDescent="0.2">
      <c r="A378" s="4"/>
      <c r="B378" s="11" t="s">
        <v>47</v>
      </c>
      <c r="C378" s="11" t="s">
        <v>46</v>
      </c>
      <c r="D378" s="11" t="s">
        <v>48</v>
      </c>
      <c r="E378" s="11" t="s">
        <v>49</v>
      </c>
      <c r="I378"/>
      <c r="K378"/>
    </row>
    <row r="379" spans="1:11" x14ac:dyDescent="0.2">
      <c r="A379" s="2"/>
      <c r="B379" s="2"/>
      <c r="C379" s="2"/>
      <c r="D379" s="2"/>
      <c r="E379" s="2"/>
      <c r="I379"/>
      <c r="K379"/>
    </row>
    <row r="380" spans="1:11" x14ac:dyDescent="0.2">
      <c r="A380" s="2"/>
      <c r="B380" s="5">
        <v>0</v>
      </c>
      <c r="C380" s="5">
        <v>0</v>
      </c>
      <c r="D380" s="5">
        <v>0</v>
      </c>
      <c r="E380" s="5">
        <v>0</v>
      </c>
      <c r="I380"/>
      <c r="K380"/>
    </row>
    <row r="381" spans="1:11" x14ac:dyDescent="0.2">
      <c r="A381" s="2"/>
      <c r="B381" s="5">
        <v>0</v>
      </c>
      <c r="C381" s="5">
        <v>0</v>
      </c>
      <c r="D381" s="5">
        <v>0</v>
      </c>
      <c r="E381" s="5">
        <v>0</v>
      </c>
      <c r="I381"/>
      <c r="K381"/>
    </row>
    <row r="382" spans="1:11" x14ac:dyDescent="0.2">
      <c r="A382" s="2"/>
      <c r="B382" s="5">
        <v>0</v>
      </c>
      <c r="C382" s="5">
        <v>0</v>
      </c>
      <c r="D382" s="5">
        <v>0</v>
      </c>
      <c r="E382" s="5">
        <v>0</v>
      </c>
      <c r="I382"/>
      <c r="K382"/>
    </row>
    <row r="383" spans="1:11" x14ac:dyDescent="0.2">
      <c r="A383" s="7">
        <v>1</v>
      </c>
      <c r="B383" s="5">
        <v>0</v>
      </c>
      <c r="C383" s="5">
        <v>0</v>
      </c>
      <c r="D383" s="5">
        <v>0</v>
      </c>
      <c r="E383" s="5">
        <v>0</v>
      </c>
      <c r="I383"/>
      <c r="K383"/>
    </row>
    <row r="384" spans="1:11" x14ac:dyDescent="0.2">
      <c r="A384" s="7">
        <v>2</v>
      </c>
      <c r="B384" s="6">
        <v>0</v>
      </c>
      <c r="C384" s="6">
        <v>0</v>
      </c>
      <c r="D384" s="6">
        <v>0</v>
      </c>
      <c r="E384" s="6">
        <v>0</v>
      </c>
      <c r="I384"/>
      <c r="K384"/>
    </row>
    <row r="385" spans="1:11" x14ac:dyDescent="0.2">
      <c r="A385" s="3" t="s">
        <v>8</v>
      </c>
      <c r="B385" s="10">
        <f>SUM(B380:B384)</f>
        <v>0</v>
      </c>
      <c r="C385" s="10">
        <f>SUM(C380:C384)</f>
        <v>0</v>
      </c>
      <c r="D385" s="10">
        <f>SUM(D380:D384)</f>
        <v>0</v>
      </c>
      <c r="E385" s="10">
        <f>SUM(E380:E384)</f>
        <v>0</v>
      </c>
      <c r="I385"/>
      <c r="K385"/>
    </row>
    <row r="386" spans="1:11" x14ac:dyDescent="0.2">
      <c r="A386" s="2"/>
      <c r="B386" s="2"/>
      <c r="C386" s="2"/>
      <c r="D386" s="2"/>
      <c r="E386" s="2"/>
      <c r="I386"/>
      <c r="K386"/>
    </row>
    <row r="387" spans="1:11" x14ac:dyDescent="0.2">
      <c r="A387" s="7">
        <v>5</v>
      </c>
      <c r="B387" s="5">
        <v>0</v>
      </c>
      <c r="C387" s="5">
        <v>0</v>
      </c>
      <c r="D387" s="5">
        <v>0</v>
      </c>
      <c r="E387" s="5">
        <v>0</v>
      </c>
      <c r="I387"/>
      <c r="K387"/>
    </row>
    <row r="388" spans="1:11" x14ac:dyDescent="0.2">
      <c r="A388" s="7">
        <v>6</v>
      </c>
      <c r="B388" s="5">
        <v>0</v>
      </c>
      <c r="C388" s="5">
        <v>0</v>
      </c>
      <c r="D388" s="5">
        <v>0</v>
      </c>
      <c r="E388" s="5">
        <v>0</v>
      </c>
      <c r="I388"/>
      <c r="K388"/>
    </row>
    <row r="389" spans="1:11" x14ac:dyDescent="0.2">
      <c r="A389" s="7">
        <v>7</v>
      </c>
      <c r="B389" s="5">
        <v>0</v>
      </c>
      <c r="C389" s="5">
        <v>0</v>
      </c>
      <c r="D389" s="5">
        <v>0</v>
      </c>
      <c r="E389" s="5">
        <v>0</v>
      </c>
      <c r="I389"/>
      <c r="K389"/>
    </row>
    <row r="390" spans="1:11" x14ac:dyDescent="0.2">
      <c r="A390" s="7">
        <v>8</v>
      </c>
      <c r="B390" s="5">
        <v>0</v>
      </c>
      <c r="C390" s="5">
        <v>0</v>
      </c>
      <c r="D390" s="5">
        <v>0</v>
      </c>
      <c r="E390" s="5">
        <v>0</v>
      </c>
      <c r="I390"/>
      <c r="K390"/>
    </row>
    <row r="391" spans="1:11" x14ac:dyDescent="0.2">
      <c r="A391" s="8">
        <v>9</v>
      </c>
      <c r="B391" s="5">
        <v>0</v>
      </c>
      <c r="C391" s="6">
        <v>0</v>
      </c>
      <c r="D391" s="6">
        <v>0</v>
      </c>
      <c r="E391" s="6">
        <v>0</v>
      </c>
      <c r="I391"/>
      <c r="K391"/>
    </row>
    <row r="392" spans="1:11" x14ac:dyDescent="0.2">
      <c r="A392" s="3" t="s">
        <v>8</v>
      </c>
      <c r="B392" s="10">
        <f>SUM(B387:B391)</f>
        <v>0</v>
      </c>
      <c r="C392" s="10">
        <f>SUM(C387:C391)</f>
        <v>0</v>
      </c>
      <c r="D392" s="10">
        <f>SUM(D387:D391)</f>
        <v>0</v>
      </c>
      <c r="E392" s="10">
        <f>SUM(E387:E391)</f>
        <v>0</v>
      </c>
      <c r="I392"/>
      <c r="K392"/>
    </row>
    <row r="393" spans="1:11" x14ac:dyDescent="0.2">
      <c r="A393" s="2"/>
      <c r="B393" s="2"/>
      <c r="C393" s="2"/>
      <c r="D393" s="2"/>
      <c r="E393" s="2"/>
      <c r="I393"/>
      <c r="K393"/>
    </row>
    <row r="394" spans="1:11" x14ac:dyDescent="0.2">
      <c r="A394" s="2">
        <v>12</v>
      </c>
      <c r="B394" s="5">
        <v>0</v>
      </c>
      <c r="C394" s="5">
        <v>0</v>
      </c>
      <c r="D394" s="5">
        <v>0</v>
      </c>
      <c r="E394" s="5">
        <v>0</v>
      </c>
      <c r="I394"/>
      <c r="K394"/>
    </row>
    <row r="395" spans="1:11" x14ac:dyDescent="0.2">
      <c r="A395" s="2">
        <v>13</v>
      </c>
      <c r="B395" s="5">
        <v>0</v>
      </c>
      <c r="C395" s="5">
        <v>0</v>
      </c>
      <c r="D395" s="5">
        <v>0</v>
      </c>
      <c r="E395" s="5">
        <v>0</v>
      </c>
      <c r="I395"/>
      <c r="K395"/>
    </row>
    <row r="396" spans="1:11" x14ac:dyDescent="0.2">
      <c r="A396" s="2">
        <v>14</v>
      </c>
      <c r="B396" s="5">
        <v>0</v>
      </c>
      <c r="C396" s="5">
        <v>0</v>
      </c>
      <c r="D396" s="5">
        <v>0</v>
      </c>
      <c r="E396" s="5">
        <v>0</v>
      </c>
      <c r="I396"/>
      <c r="K396"/>
    </row>
    <row r="397" spans="1:11" x14ac:dyDescent="0.2">
      <c r="A397" s="2">
        <v>15</v>
      </c>
      <c r="B397" s="5">
        <v>0</v>
      </c>
      <c r="C397" s="5">
        <v>0</v>
      </c>
      <c r="D397" s="5">
        <v>0</v>
      </c>
      <c r="E397" s="5">
        <v>0</v>
      </c>
      <c r="I397"/>
      <c r="K397"/>
    </row>
    <row r="398" spans="1:11" x14ac:dyDescent="0.2">
      <c r="A398" s="2">
        <v>16</v>
      </c>
      <c r="B398" s="5">
        <v>0</v>
      </c>
      <c r="C398" s="6">
        <v>0</v>
      </c>
      <c r="D398" s="6">
        <v>0</v>
      </c>
      <c r="E398" s="6">
        <v>0</v>
      </c>
      <c r="I398"/>
      <c r="K398"/>
    </row>
    <row r="399" spans="1:11" x14ac:dyDescent="0.2">
      <c r="A399" s="3" t="s">
        <v>8</v>
      </c>
      <c r="B399" s="10">
        <f>SUM(B394:B398)</f>
        <v>0</v>
      </c>
      <c r="C399" s="10">
        <f>SUM(C394:C398)</f>
        <v>0</v>
      </c>
      <c r="D399" s="10">
        <f>SUM(D394:D398)</f>
        <v>0</v>
      </c>
      <c r="E399" s="10">
        <f>SUM(E394:E398)</f>
        <v>0</v>
      </c>
      <c r="I399"/>
      <c r="K399"/>
    </row>
    <row r="400" spans="1:11" x14ac:dyDescent="0.2">
      <c r="A400" s="2"/>
      <c r="B400" s="2"/>
      <c r="C400" s="2"/>
      <c r="D400" s="2"/>
      <c r="E400" s="2"/>
      <c r="I400"/>
      <c r="K400"/>
    </row>
    <row r="401" spans="1:11" x14ac:dyDescent="0.2">
      <c r="A401" s="2">
        <v>19</v>
      </c>
      <c r="B401" s="5">
        <v>0</v>
      </c>
      <c r="C401" s="5">
        <v>0</v>
      </c>
      <c r="D401" s="5">
        <v>0</v>
      </c>
      <c r="E401" s="5">
        <v>0</v>
      </c>
      <c r="I401"/>
      <c r="K401"/>
    </row>
    <row r="402" spans="1:11" x14ac:dyDescent="0.2">
      <c r="A402" s="2">
        <v>20</v>
      </c>
      <c r="B402" s="5">
        <v>0</v>
      </c>
      <c r="C402" s="5">
        <v>0</v>
      </c>
      <c r="D402" s="5">
        <v>0</v>
      </c>
      <c r="E402" s="5">
        <v>0</v>
      </c>
      <c r="I402"/>
      <c r="K402"/>
    </row>
    <row r="403" spans="1:11" x14ac:dyDescent="0.2">
      <c r="A403" s="2">
        <v>21</v>
      </c>
      <c r="B403" s="5">
        <v>0</v>
      </c>
      <c r="C403" s="5">
        <v>0</v>
      </c>
      <c r="D403" s="5">
        <v>0</v>
      </c>
      <c r="E403" s="5">
        <v>0</v>
      </c>
      <c r="I403"/>
      <c r="K403"/>
    </row>
    <row r="404" spans="1:11" x14ac:dyDescent="0.2">
      <c r="A404" s="2">
        <v>22</v>
      </c>
      <c r="B404" s="5">
        <v>0</v>
      </c>
      <c r="C404" s="5">
        <v>0</v>
      </c>
      <c r="D404" s="5">
        <v>0</v>
      </c>
      <c r="E404" s="5">
        <v>0</v>
      </c>
      <c r="I404"/>
      <c r="K404"/>
    </row>
    <row r="405" spans="1:11" x14ac:dyDescent="0.2">
      <c r="A405" s="2">
        <v>23</v>
      </c>
      <c r="B405" s="5">
        <v>0</v>
      </c>
      <c r="C405" s="6">
        <v>0</v>
      </c>
      <c r="D405" s="6">
        <v>0</v>
      </c>
      <c r="E405" s="6">
        <v>0</v>
      </c>
      <c r="I405"/>
      <c r="K405"/>
    </row>
    <row r="406" spans="1:11" x14ac:dyDescent="0.2">
      <c r="A406" s="3" t="s">
        <v>8</v>
      </c>
      <c r="B406" s="10">
        <f>SUM(B401:B405)</f>
        <v>0</v>
      </c>
      <c r="C406" s="10">
        <f>SUM(C401:C405)</f>
        <v>0</v>
      </c>
      <c r="D406" s="10">
        <f>SUM(D401:D405)</f>
        <v>0</v>
      </c>
      <c r="E406" s="10">
        <f>SUM(E401:E405)</f>
        <v>0</v>
      </c>
      <c r="I406"/>
      <c r="K406"/>
    </row>
    <row r="407" spans="1:11" x14ac:dyDescent="0.2">
      <c r="A407" s="2"/>
      <c r="B407" s="2"/>
      <c r="C407" s="2"/>
      <c r="D407" s="2"/>
      <c r="E407" s="2"/>
      <c r="I407"/>
      <c r="K407"/>
    </row>
    <row r="408" spans="1:11" x14ac:dyDescent="0.2">
      <c r="A408" s="2">
        <v>26</v>
      </c>
      <c r="B408" s="5">
        <v>0</v>
      </c>
      <c r="C408" s="5">
        <v>0</v>
      </c>
      <c r="D408" s="5">
        <v>0</v>
      </c>
      <c r="E408" s="5">
        <v>0</v>
      </c>
      <c r="I408"/>
      <c r="K408"/>
    </row>
    <row r="409" spans="1:11" x14ac:dyDescent="0.2">
      <c r="A409" s="2">
        <v>27</v>
      </c>
      <c r="B409" s="5">
        <v>0</v>
      </c>
      <c r="C409" s="5">
        <v>0</v>
      </c>
      <c r="D409" s="5">
        <v>0</v>
      </c>
      <c r="E409" s="5">
        <v>0</v>
      </c>
      <c r="I409"/>
      <c r="K409"/>
    </row>
    <row r="410" spans="1:11" x14ac:dyDescent="0.2">
      <c r="A410" s="2">
        <v>28</v>
      </c>
      <c r="B410" s="5">
        <v>0</v>
      </c>
      <c r="C410" s="5">
        <v>0</v>
      </c>
      <c r="D410" s="5">
        <v>0</v>
      </c>
      <c r="E410" s="5">
        <v>0</v>
      </c>
      <c r="I410"/>
      <c r="K410"/>
    </row>
    <row r="411" spans="1:11" x14ac:dyDescent="0.2">
      <c r="A411" s="2">
        <v>29</v>
      </c>
      <c r="B411" s="5">
        <v>0</v>
      </c>
      <c r="C411" s="5">
        <v>0</v>
      </c>
      <c r="D411" s="5">
        <v>0</v>
      </c>
      <c r="E411" s="5">
        <v>0</v>
      </c>
      <c r="I411"/>
      <c r="K411"/>
    </row>
    <row r="412" spans="1:11" x14ac:dyDescent="0.2">
      <c r="A412" s="2">
        <v>30</v>
      </c>
      <c r="B412" s="5">
        <v>0</v>
      </c>
      <c r="C412" s="6">
        <v>0</v>
      </c>
      <c r="D412" s="6">
        <v>0</v>
      </c>
      <c r="E412" s="6">
        <v>0</v>
      </c>
      <c r="I412"/>
      <c r="K412"/>
    </row>
    <row r="413" spans="1:11" x14ac:dyDescent="0.2">
      <c r="A413" s="3" t="s">
        <v>8</v>
      </c>
      <c r="B413" s="10">
        <f>SUM(B408:B412)</f>
        <v>0</v>
      </c>
      <c r="C413" s="10">
        <f>SUM(C408:C412)</f>
        <v>0</v>
      </c>
      <c r="D413" s="10">
        <f>SUM(D408:D412)</f>
        <v>0</v>
      </c>
      <c r="E413" s="10">
        <f>SUM(E408:E412)</f>
        <v>0</v>
      </c>
      <c r="I413"/>
      <c r="K413"/>
    </row>
    <row r="414" spans="1:11" x14ac:dyDescent="0.2">
      <c r="A414" s="2"/>
      <c r="B414" s="2"/>
      <c r="C414" s="2"/>
      <c r="D414" s="2"/>
      <c r="E414" s="2"/>
      <c r="I414"/>
      <c r="K414"/>
    </row>
    <row r="415" spans="1:11" x14ac:dyDescent="0.2">
      <c r="A415" s="2" t="s">
        <v>9</v>
      </c>
      <c r="B415" s="2">
        <v>0</v>
      </c>
      <c r="C415" s="2">
        <v>0</v>
      </c>
      <c r="D415" s="2">
        <v>0</v>
      </c>
      <c r="E415" s="2">
        <v>0</v>
      </c>
      <c r="I415"/>
      <c r="K415"/>
    </row>
    <row r="416" spans="1:11" x14ac:dyDescent="0.2">
      <c r="A416" s="2" t="s">
        <v>10</v>
      </c>
      <c r="B416" s="2">
        <v>0</v>
      </c>
      <c r="C416" s="9">
        <v>0</v>
      </c>
      <c r="D416" s="9">
        <v>0</v>
      </c>
      <c r="E416" s="9">
        <v>0</v>
      </c>
      <c r="I416"/>
      <c r="K416"/>
    </row>
    <row r="417" spans="1:11" x14ac:dyDescent="0.2">
      <c r="A417" s="2"/>
      <c r="B417" s="2"/>
      <c r="C417" s="2"/>
      <c r="D417" s="2"/>
      <c r="E417" s="2"/>
      <c r="I417"/>
      <c r="K417"/>
    </row>
    <row r="418" spans="1:11" x14ac:dyDescent="0.2">
      <c r="A418" s="3" t="s">
        <v>6</v>
      </c>
      <c r="B418" s="10">
        <f>+B385+B392+B399+B406+B413+B415+B416</f>
        <v>0</v>
      </c>
      <c r="C418" s="10">
        <f>+C413+C406+C399+C392+C385</f>
        <v>0</v>
      </c>
      <c r="D418" s="10">
        <f>+D413+D406+D399+D392+D385</f>
        <v>0</v>
      </c>
      <c r="E418" s="10">
        <f>+E413+E406+E399+E392+E385</f>
        <v>0</v>
      </c>
      <c r="I418"/>
      <c r="K418"/>
    </row>
    <row r="419" spans="1:11" x14ac:dyDescent="0.2">
      <c r="B419" s="1"/>
      <c r="C419" s="1"/>
      <c r="D419" s="1"/>
      <c r="I419"/>
      <c r="K419"/>
    </row>
    <row r="420" spans="1:11" x14ac:dyDescent="0.2">
      <c r="A420" s="26"/>
      <c r="B420" s="26"/>
      <c r="C420" s="26"/>
      <c r="D420" s="26"/>
      <c r="I420"/>
      <c r="K420"/>
    </row>
    <row r="421" spans="1:11" x14ac:dyDescent="0.2">
      <c r="A421" s="11" t="s">
        <v>28</v>
      </c>
      <c r="B421" s="9"/>
      <c r="C421" s="2"/>
      <c r="D421" s="2"/>
      <c r="I421"/>
      <c r="K421"/>
    </row>
    <row r="422" spans="1:11" x14ac:dyDescent="0.2">
      <c r="A422" s="9"/>
      <c r="B422" s="9"/>
      <c r="C422" s="2"/>
      <c r="D422" s="2"/>
      <c r="I422"/>
      <c r="K422"/>
    </row>
    <row r="423" spans="1:11" x14ac:dyDescent="0.2">
      <c r="A423" s="2"/>
      <c r="B423" s="2"/>
      <c r="C423" s="2"/>
      <c r="D423" s="2"/>
      <c r="I423"/>
      <c r="K423"/>
    </row>
    <row r="424" spans="1:11" x14ac:dyDescent="0.2">
      <c r="A424" s="4"/>
      <c r="B424" s="11" t="s">
        <v>47</v>
      </c>
      <c r="C424" s="11" t="s">
        <v>46</v>
      </c>
      <c r="D424" s="11" t="s">
        <v>48</v>
      </c>
      <c r="E424" s="11" t="s">
        <v>49</v>
      </c>
      <c r="I424"/>
      <c r="K424"/>
    </row>
    <row r="425" spans="1:11" x14ac:dyDescent="0.2">
      <c r="A425" s="2"/>
      <c r="B425" s="2"/>
      <c r="C425" s="2"/>
      <c r="D425" s="2"/>
      <c r="E425" s="2"/>
      <c r="I425"/>
      <c r="K425"/>
    </row>
    <row r="426" spans="1:11" x14ac:dyDescent="0.2">
      <c r="A426" s="2">
        <v>3</v>
      </c>
      <c r="B426" s="5">
        <v>0</v>
      </c>
      <c r="C426" s="5">
        <v>0</v>
      </c>
      <c r="D426" s="5">
        <v>0</v>
      </c>
      <c r="E426" s="5">
        <v>0</v>
      </c>
      <c r="I426"/>
      <c r="K426"/>
    </row>
    <row r="427" spans="1:11" x14ac:dyDescent="0.2">
      <c r="A427" s="2">
        <v>4</v>
      </c>
      <c r="B427" s="5">
        <v>0</v>
      </c>
      <c r="C427" s="5">
        <v>0</v>
      </c>
      <c r="D427" s="5">
        <v>0</v>
      </c>
      <c r="E427" s="5">
        <v>0</v>
      </c>
      <c r="I427"/>
      <c r="K427"/>
    </row>
    <row r="428" spans="1:11" x14ac:dyDescent="0.2">
      <c r="A428" s="2">
        <v>5</v>
      </c>
      <c r="B428" s="5">
        <v>0</v>
      </c>
      <c r="C428" s="5">
        <v>0</v>
      </c>
      <c r="D428" s="5">
        <v>0</v>
      </c>
      <c r="E428" s="5">
        <v>0</v>
      </c>
      <c r="I428"/>
      <c r="K428"/>
    </row>
    <row r="429" spans="1:11" x14ac:dyDescent="0.2">
      <c r="A429" s="7">
        <v>6</v>
      </c>
      <c r="B429" s="5">
        <v>0</v>
      </c>
      <c r="C429" s="5">
        <v>0</v>
      </c>
      <c r="D429" s="5">
        <v>0</v>
      </c>
      <c r="E429" s="5">
        <v>0</v>
      </c>
      <c r="I429"/>
      <c r="K429"/>
    </row>
    <row r="430" spans="1:11" x14ac:dyDescent="0.2">
      <c r="A430" s="7">
        <v>7</v>
      </c>
      <c r="B430" s="6">
        <v>0</v>
      </c>
      <c r="C430" s="6">
        <v>0</v>
      </c>
      <c r="D430" s="6">
        <v>0</v>
      </c>
      <c r="E430" s="6">
        <v>0</v>
      </c>
      <c r="I430"/>
      <c r="K430"/>
    </row>
    <row r="431" spans="1:11" x14ac:dyDescent="0.2">
      <c r="A431" s="3" t="s">
        <v>8</v>
      </c>
      <c r="B431" s="10">
        <f>SUM(B426:B430)</f>
        <v>0</v>
      </c>
      <c r="C431" s="10">
        <f>SUM(C426:C430)</f>
        <v>0</v>
      </c>
      <c r="D431" s="10">
        <f>SUM(D426:D430)</f>
        <v>0</v>
      </c>
      <c r="E431" s="10">
        <f>SUM(E426:E430)</f>
        <v>0</v>
      </c>
      <c r="I431"/>
      <c r="K431"/>
    </row>
    <row r="432" spans="1:11" x14ac:dyDescent="0.2">
      <c r="A432" s="2"/>
      <c r="B432" s="2"/>
      <c r="C432" s="2"/>
      <c r="D432" s="2"/>
      <c r="E432" s="2"/>
      <c r="I432"/>
      <c r="K432"/>
    </row>
    <row r="433" spans="1:11" x14ac:dyDescent="0.2">
      <c r="A433" s="7">
        <v>10</v>
      </c>
      <c r="B433" s="5">
        <v>0</v>
      </c>
      <c r="C433" s="5">
        <v>0</v>
      </c>
      <c r="D433" s="5">
        <v>0</v>
      </c>
      <c r="E433" s="5">
        <v>0</v>
      </c>
      <c r="I433"/>
      <c r="K433"/>
    </row>
    <row r="434" spans="1:11" x14ac:dyDescent="0.2">
      <c r="A434" s="7">
        <v>11</v>
      </c>
      <c r="B434" s="5">
        <v>0</v>
      </c>
      <c r="C434" s="5">
        <v>0</v>
      </c>
      <c r="D434" s="5">
        <v>0</v>
      </c>
      <c r="E434" s="5">
        <v>0</v>
      </c>
      <c r="I434"/>
      <c r="K434"/>
    </row>
    <row r="435" spans="1:11" x14ac:dyDescent="0.2">
      <c r="A435" s="7">
        <v>12</v>
      </c>
      <c r="B435" s="5">
        <v>0</v>
      </c>
      <c r="C435" s="5">
        <v>0</v>
      </c>
      <c r="D435" s="5">
        <v>0</v>
      </c>
      <c r="E435" s="5">
        <v>0</v>
      </c>
      <c r="I435"/>
      <c r="K435"/>
    </row>
    <row r="436" spans="1:11" x14ac:dyDescent="0.2">
      <c r="A436" s="7">
        <v>13</v>
      </c>
      <c r="B436" s="5">
        <v>0</v>
      </c>
      <c r="C436" s="5">
        <v>0</v>
      </c>
      <c r="D436" s="5">
        <v>0</v>
      </c>
      <c r="E436" s="5">
        <v>0</v>
      </c>
      <c r="I436"/>
      <c r="K436"/>
    </row>
    <row r="437" spans="1:11" x14ac:dyDescent="0.2">
      <c r="A437" s="8">
        <v>14</v>
      </c>
      <c r="B437" s="5">
        <v>0</v>
      </c>
      <c r="C437" s="6">
        <v>0</v>
      </c>
      <c r="D437" s="6">
        <v>0</v>
      </c>
      <c r="E437" s="6">
        <v>0</v>
      </c>
      <c r="I437"/>
      <c r="K437"/>
    </row>
    <row r="438" spans="1:11" x14ac:dyDescent="0.2">
      <c r="A438" s="3" t="s">
        <v>8</v>
      </c>
      <c r="B438" s="10">
        <f>SUM(B433:B437)</f>
        <v>0</v>
      </c>
      <c r="C438" s="10">
        <f>SUM(C433:C437)</f>
        <v>0</v>
      </c>
      <c r="D438" s="10">
        <f>SUM(D433:D437)</f>
        <v>0</v>
      </c>
      <c r="E438" s="10">
        <f>SUM(E433:E437)</f>
        <v>0</v>
      </c>
      <c r="I438"/>
      <c r="K438"/>
    </row>
    <row r="439" spans="1:11" x14ac:dyDescent="0.2">
      <c r="A439" s="2"/>
      <c r="B439" s="2"/>
      <c r="C439" s="2"/>
      <c r="D439" s="2"/>
      <c r="E439" s="2"/>
      <c r="I439"/>
      <c r="K439"/>
    </row>
    <row r="440" spans="1:11" x14ac:dyDescent="0.2">
      <c r="A440" s="2">
        <v>17</v>
      </c>
      <c r="B440" s="5">
        <v>0</v>
      </c>
      <c r="C440" s="5">
        <v>0</v>
      </c>
      <c r="D440" s="5">
        <v>0</v>
      </c>
      <c r="E440" s="5">
        <v>0</v>
      </c>
      <c r="I440"/>
      <c r="K440"/>
    </row>
    <row r="441" spans="1:11" x14ac:dyDescent="0.2">
      <c r="A441" s="2">
        <v>18</v>
      </c>
      <c r="B441" s="5">
        <v>0</v>
      </c>
      <c r="C441" s="5">
        <v>0</v>
      </c>
      <c r="D441" s="5">
        <v>0</v>
      </c>
      <c r="E441" s="5">
        <v>0</v>
      </c>
      <c r="I441"/>
      <c r="K441"/>
    </row>
    <row r="442" spans="1:11" x14ac:dyDescent="0.2">
      <c r="A442" s="2">
        <v>19</v>
      </c>
      <c r="B442" s="5">
        <v>0</v>
      </c>
      <c r="C442" s="5">
        <v>0</v>
      </c>
      <c r="D442" s="5">
        <v>0</v>
      </c>
      <c r="E442" s="5">
        <v>0</v>
      </c>
      <c r="I442"/>
      <c r="K442"/>
    </row>
    <row r="443" spans="1:11" x14ac:dyDescent="0.2">
      <c r="A443" s="2">
        <v>20</v>
      </c>
      <c r="B443" s="5">
        <v>0</v>
      </c>
      <c r="C443" s="5">
        <v>0</v>
      </c>
      <c r="D443" s="5">
        <v>0</v>
      </c>
      <c r="E443" s="5">
        <v>0</v>
      </c>
      <c r="I443"/>
      <c r="K443"/>
    </row>
    <row r="444" spans="1:11" x14ac:dyDescent="0.2">
      <c r="A444" s="2">
        <v>21</v>
      </c>
      <c r="B444" s="5">
        <v>0</v>
      </c>
      <c r="C444" s="6">
        <v>0</v>
      </c>
      <c r="D444" s="6">
        <v>0</v>
      </c>
      <c r="E444" s="6">
        <v>0</v>
      </c>
      <c r="I444"/>
      <c r="K444"/>
    </row>
    <row r="445" spans="1:11" x14ac:dyDescent="0.2">
      <c r="A445" s="3" t="s">
        <v>8</v>
      </c>
      <c r="B445" s="10">
        <f>SUM(B440:B444)</f>
        <v>0</v>
      </c>
      <c r="C445" s="10">
        <f>SUM(C440:C444)</f>
        <v>0</v>
      </c>
      <c r="D445" s="10">
        <f>SUM(D440:D444)</f>
        <v>0</v>
      </c>
      <c r="E445" s="10">
        <f>SUM(E440:E444)</f>
        <v>0</v>
      </c>
      <c r="I445"/>
      <c r="K445"/>
    </row>
    <row r="446" spans="1:11" x14ac:dyDescent="0.2">
      <c r="A446" s="2"/>
      <c r="B446" s="2"/>
      <c r="C446" s="2"/>
      <c r="D446" s="2"/>
      <c r="E446" s="2"/>
      <c r="I446"/>
      <c r="K446"/>
    </row>
    <row r="447" spans="1:11" x14ac:dyDescent="0.2">
      <c r="A447" s="2">
        <v>24</v>
      </c>
      <c r="B447" s="5">
        <v>0</v>
      </c>
      <c r="C447" s="5">
        <v>0</v>
      </c>
      <c r="D447" s="5">
        <v>0</v>
      </c>
      <c r="E447" s="5">
        <v>0</v>
      </c>
      <c r="I447"/>
      <c r="K447"/>
    </row>
    <row r="448" spans="1:11" x14ac:dyDescent="0.2">
      <c r="A448" s="2">
        <v>25</v>
      </c>
      <c r="B448" s="5">
        <v>0</v>
      </c>
      <c r="C448" s="5">
        <v>0</v>
      </c>
      <c r="D448" s="5">
        <v>0</v>
      </c>
      <c r="E448" s="5">
        <v>0</v>
      </c>
      <c r="I448"/>
      <c r="K448"/>
    </row>
    <row r="449" spans="1:11" x14ac:dyDescent="0.2">
      <c r="A449" s="2">
        <v>26</v>
      </c>
      <c r="B449" s="5">
        <v>0</v>
      </c>
      <c r="C449" s="5">
        <v>0</v>
      </c>
      <c r="D449" s="5">
        <v>0</v>
      </c>
      <c r="E449" s="5">
        <v>0</v>
      </c>
      <c r="I449"/>
      <c r="K449"/>
    </row>
    <row r="450" spans="1:11" x14ac:dyDescent="0.2">
      <c r="A450" s="2">
        <v>27</v>
      </c>
      <c r="B450" s="5">
        <v>0</v>
      </c>
      <c r="C450" s="5">
        <v>0</v>
      </c>
      <c r="D450" s="5">
        <v>0</v>
      </c>
      <c r="E450" s="5">
        <v>0</v>
      </c>
      <c r="I450"/>
      <c r="K450"/>
    </row>
    <row r="451" spans="1:11" x14ac:dyDescent="0.2">
      <c r="A451" s="2">
        <v>28</v>
      </c>
      <c r="B451" s="5">
        <v>0</v>
      </c>
      <c r="C451" s="6">
        <v>0</v>
      </c>
      <c r="D451" s="6">
        <v>0</v>
      </c>
      <c r="E451" s="6">
        <v>0</v>
      </c>
      <c r="I451"/>
      <c r="K451"/>
    </row>
    <row r="452" spans="1:11" x14ac:dyDescent="0.2">
      <c r="A452" s="3" t="s">
        <v>8</v>
      </c>
      <c r="B452" s="10">
        <f>SUM(B447:B451)</f>
        <v>0</v>
      </c>
      <c r="C452" s="10">
        <f>SUM(C447:C451)</f>
        <v>0</v>
      </c>
      <c r="D452" s="10">
        <f>SUM(D447:D451)</f>
        <v>0</v>
      </c>
      <c r="E452" s="10">
        <f>SUM(E447:E451)</f>
        <v>0</v>
      </c>
      <c r="I452"/>
      <c r="K452"/>
    </row>
    <row r="453" spans="1:11" x14ac:dyDescent="0.2">
      <c r="A453" s="2"/>
      <c r="B453" s="2"/>
      <c r="C453" s="2"/>
      <c r="D453" s="2"/>
      <c r="E453" s="2"/>
      <c r="I453"/>
      <c r="K453"/>
    </row>
    <row r="454" spans="1:11" x14ac:dyDescent="0.2">
      <c r="A454" s="2">
        <v>31</v>
      </c>
      <c r="B454" s="5">
        <v>0</v>
      </c>
      <c r="C454" s="5">
        <v>0</v>
      </c>
      <c r="D454" s="5">
        <v>0</v>
      </c>
      <c r="E454" s="5">
        <v>0</v>
      </c>
      <c r="I454"/>
      <c r="K454"/>
    </row>
    <row r="455" spans="1:11" x14ac:dyDescent="0.2">
      <c r="A455" s="2"/>
      <c r="B455" s="5">
        <v>0</v>
      </c>
      <c r="C455" s="5">
        <v>0</v>
      </c>
      <c r="D455" s="5">
        <v>0</v>
      </c>
      <c r="E455" s="5">
        <v>0</v>
      </c>
      <c r="I455"/>
      <c r="K455"/>
    </row>
    <row r="456" spans="1:11" x14ac:dyDescent="0.2">
      <c r="A456" s="2"/>
      <c r="B456" s="5">
        <v>0</v>
      </c>
      <c r="C456" s="5">
        <v>0</v>
      </c>
      <c r="D456" s="5">
        <v>0</v>
      </c>
      <c r="E456" s="5">
        <v>0</v>
      </c>
      <c r="I456"/>
      <c r="K456"/>
    </row>
    <row r="457" spans="1:11" x14ac:dyDescent="0.2">
      <c r="A457" s="2"/>
      <c r="B457" s="5">
        <v>0</v>
      </c>
      <c r="C457" s="5">
        <v>0</v>
      </c>
      <c r="D457" s="5">
        <v>0</v>
      </c>
      <c r="E457" s="5">
        <v>0</v>
      </c>
      <c r="I457"/>
      <c r="K457"/>
    </row>
    <row r="458" spans="1:11" x14ac:dyDescent="0.2">
      <c r="A458" s="2"/>
      <c r="B458" s="5">
        <v>0</v>
      </c>
      <c r="C458" s="6">
        <v>0</v>
      </c>
      <c r="D458" s="6">
        <v>0</v>
      </c>
      <c r="E458" s="6">
        <v>0</v>
      </c>
      <c r="I458"/>
      <c r="K458"/>
    </row>
    <row r="459" spans="1:11" x14ac:dyDescent="0.2">
      <c r="A459" s="3" t="s">
        <v>8</v>
      </c>
      <c r="B459" s="10">
        <f>SUM(B454:B458)</f>
        <v>0</v>
      </c>
      <c r="C459" s="10">
        <f>SUM(C454:C458)</f>
        <v>0</v>
      </c>
      <c r="D459" s="10">
        <f>SUM(D454:D458)</f>
        <v>0</v>
      </c>
      <c r="E459" s="10">
        <f>SUM(E454:E458)</f>
        <v>0</v>
      </c>
      <c r="I459"/>
      <c r="K459"/>
    </row>
    <row r="460" spans="1:11" x14ac:dyDescent="0.2">
      <c r="A460" s="2"/>
      <c r="B460" s="2"/>
      <c r="C460" s="2"/>
      <c r="D460" s="2"/>
      <c r="E460" s="2"/>
      <c r="I460"/>
      <c r="K460"/>
    </row>
    <row r="461" spans="1:11" x14ac:dyDescent="0.2">
      <c r="A461" s="2" t="s">
        <v>9</v>
      </c>
      <c r="B461" s="2">
        <v>0</v>
      </c>
      <c r="C461" s="2">
        <v>0</v>
      </c>
      <c r="D461" s="2">
        <v>0</v>
      </c>
      <c r="E461" s="2">
        <v>0</v>
      </c>
      <c r="I461"/>
      <c r="K461"/>
    </row>
    <row r="462" spans="1:11" x14ac:dyDescent="0.2">
      <c r="A462" s="2" t="s">
        <v>10</v>
      </c>
      <c r="B462" s="2">
        <v>0</v>
      </c>
      <c r="C462" s="9">
        <v>0</v>
      </c>
      <c r="D462" s="9">
        <v>0</v>
      </c>
      <c r="E462" s="9">
        <v>0</v>
      </c>
      <c r="I462"/>
      <c r="K462"/>
    </row>
    <row r="463" spans="1:11" x14ac:dyDescent="0.2">
      <c r="A463" s="2"/>
      <c r="B463" s="2"/>
      <c r="C463" s="2"/>
      <c r="D463" s="2"/>
      <c r="E463" s="2"/>
      <c r="I463"/>
      <c r="K463"/>
    </row>
    <row r="464" spans="1:11" x14ac:dyDescent="0.2">
      <c r="A464" s="3" t="s">
        <v>6</v>
      </c>
      <c r="B464" s="10">
        <f>+B431+B438+B445+B452+B459+B461+B462</f>
        <v>0</v>
      </c>
      <c r="C464" s="10">
        <f>+C459+C452+C445+C438+C431</f>
        <v>0</v>
      </c>
      <c r="D464" s="10">
        <f>+D459+D452+D445+D438+D431</f>
        <v>0</v>
      </c>
      <c r="E464" s="10">
        <f>+E459+E452+E445+E438+E431</f>
        <v>0</v>
      </c>
      <c r="I464"/>
      <c r="K464"/>
    </row>
    <row r="465" spans="1:11" x14ac:dyDescent="0.2">
      <c r="B465" s="1"/>
      <c r="C465" s="1"/>
      <c r="D465" s="1"/>
      <c r="I465"/>
      <c r="K465"/>
    </row>
    <row r="466" spans="1:11" x14ac:dyDescent="0.2">
      <c r="A466" s="26"/>
      <c r="B466" s="26"/>
      <c r="C466" s="26"/>
      <c r="D466" s="26"/>
      <c r="I466"/>
      <c r="K466"/>
    </row>
    <row r="467" spans="1:11" x14ac:dyDescent="0.2">
      <c r="A467" s="11" t="s">
        <v>29</v>
      </c>
      <c r="B467" s="9"/>
      <c r="C467" s="2"/>
      <c r="D467" s="2"/>
      <c r="I467"/>
      <c r="K467"/>
    </row>
    <row r="468" spans="1:11" x14ac:dyDescent="0.2">
      <c r="A468" s="9"/>
      <c r="B468" s="9"/>
      <c r="C468" s="2"/>
      <c r="D468" s="2"/>
      <c r="I468"/>
      <c r="K468"/>
    </row>
    <row r="469" spans="1:11" x14ac:dyDescent="0.2">
      <c r="A469" s="2"/>
      <c r="B469" s="2"/>
      <c r="C469" s="2"/>
      <c r="D469" s="2"/>
      <c r="I469"/>
      <c r="K469"/>
    </row>
    <row r="470" spans="1:11" x14ac:dyDescent="0.2">
      <c r="A470" s="4"/>
      <c r="B470" s="11" t="s">
        <v>47</v>
      </c>
      <c r="C470" s="11" t="s">
        <v>46</v>
      </c>
      <c r="D470" s="11" t="s">
        <v>48</v>
      </c>
      <c r="E470" s="11" t="s">
        <v>49</v>
      </c>
      <c r="I470"/>
      <c r="K470"/>
    </row>
    <row r="471" spans="1:11" x14ac:dyDescent="0.2">
      <c r="A471" s="2"/>
      <c r="B471" s="2"/>
      <c r="C471" s="2"/>
      <c r="D471" s="2"/>
      <c r="E471" s="2"/>
      <c r="I471"/>
      <c r="K471"/>
    </row>
    <row r="472" spans="1:11" x14ac:dyDescent="0.2">
      <c r="A472" s="2"/>
      <c r="B472" s="5">
        <v>0</v>
      </c>
      <c r="C472" s="5">
        <v>0</v>
      </c>
      <c r="D472" s="5">
        <v>0</v>
      </c>
      <c r="E472" s="5">
        <v>0</v>
      </c>
      <c r="I472"/>
      <c r="K472"/>
    </row>
    <row r="473" spans="1:11" x14ac:dyDescent="0.2">
      <c r="A473" s="2">
        <v>1</v>
      </c>
      <c r="B473" s="5">
        <v>0</v>
      </c>
      <c r="C473" s="5">
        <v>0</v>
      </c>
      <c r="D473" s="5">
        <v>0</v>
      </c>
      <c r="E473" s="5">
        <v>0</v>
      </c>
      <c r="I473"/>
      <c r="K473"/>
    </row>
    <row r="474" spans="1:11" x14ac:dyDescent="0.2">
      <c r="A474" s="2">
        <v>2</v>
      </c>
      <c r="B474" s="5">
        <v>0</v>
      </c>
      <c r="C474" s="5">
        <v>0</v>
      </c>
      <c r="D474" s="5">
        <v>0</v>
      </c>
      <c r="E474" s="5">
        <v>0</v>
      </c>
      <c r="I474"/>
      <c r="K474"/>
    </row>
    <row r="475" spans="1:11" x14ac:dyDescent="0.2">
      <c r="A475" s="7">
        <v>3</v>
      </c>
      <c r="B475" s="5">
        <v>0</v>
      </c>
      <c r="C475" s="5">
        <v>0</v>
      </c>
      <c r="D475" s="5">
        <v>0</v>
      </c>
      <c r="E475" s="5">
        <v>0</v>
      </c>
      <c r="I475"/>
      <c r="K475"/>
    </row>
    <row r="476" spans="1:11" x14ac:dyDescent="0.2">
      <c r="A476" s="7">
        <v>4</v>
      </c>
      <c r="B476" s="6">
        <v>0</v>
      </c>
      <c r="C476" s="6">
        <v>0</v>
      </c>
      <c r="D476" s="6">
        <v>0</v>
      </c>
      <c r="E476" s="6">
        <v>0</v>
      </c>
      <c r="I476"/>
      <c r="K476"/>
    </row>
    <row r="477" spans="1:11" x14ac:dyDescent="0.2">
      <c r="A477" s="3" t="s">
        <v>8</v>
      </c>
      <c r="B477" s="10">
        <f>SUM(B472:B476)</f>
        <v>0</v>
      </c>
      <c r="C477" s="10">
        <f>SUM(C472:C476)</f>
        <v>0</v>
      </c>
      <c r="D477" s="10">
        <f>SUM(D472:D476)</f>
        <v>0</v>
      </c>
      <c r="E477" s="10">
        <f>SUM(E472:E476)</f>
        <v>0</v>
      </c>
      <c r="I477"/>
      <c r="K477"/>
    </row>
    <row r="478" spans="1:11" x14ac:dyDescent="0.2">
      <c r="A478" s="2"/>
      <c r="B478" s="2"/>
      <c r="C478" s="2"/>
      <c r="D478" s="2"/>
      <c r="E478" s="2"/>
      <c r="I478"/>
      <c r="K478"/>
    </row>
    <row r="479" spans="1:11" x14ac:dyDescent="0.2">
      <c r="A479" s="7">
        <v>7</v>
      </c>
      <c r="B479" s="5">
        <v>0</v>
      </c>
      <c r="C479" s="5">
        <v>0</v>
      </c>
      <c r="D479" s="5">
        <v>0</v>
      </c>
      <c r="E479" s="5">
        <v>0</v>
      </c>
      <c r="I479"/>
      <c r="K479"/>
    </row>
    <row r="480" spans="1:11" x14ac:dyDescent="0.2">
      <c r="A480" s="7">
        <v>8</v>
      </c>
      <c r="B480" s="5">
        <v>0</v>
      </c>
      <c r="C480" s="5">
        <v>0</v>
      </c>
      <c r="D480" s="5">
        <v>0</v>
      </c>
      <c r="E480" s="5">
        <v>0</v>
      </c>
      <c r="I480"/>
      <c r="K480"/>
    </row>
    <row r="481" spans="1:11" x14ac:dyDescent="0.2">
      <c r="A481" s="7">
        <v>9</v>
      </c>
      <c r="B481" s="5">
        <v>0</v>
      </c>
      <c r="C481" s="5">
        <v>0</v>
      </c>
      <c r="D481" s="5">
        <v>0</v>
      </c>
      <c r="E481" s="5">
        <v>0</v>
      </c>
      <c r="I481"/>
      <c r="K481"/>
    </row>
    <row r="482" spans="1:11" x14ac:dyDescent="0.2">
      <c r="A482" s="7">
        <v>10</v>
      </c>
      <c r="B482" s="5">
        <v>0</v>
      </c>
      <c r="C482" s="5">
        <v>0</v>
      </c>
      <c r="D482" s="5">
        <v>0</v>
      </c>
      <c r="E482" s="5">
        <v>0</v>
      </c>
      <c r="I482"/>
      <c r="K482"/>
    </row>
    <row r="483" spans="1:11" x14ac:dyDescent="0.2">
      <c r="A483" s="8">
        <v>11</v>
      </c>
      <c r="B483" s="5">
        <v>0</v>
      </c>
      <c r="C483" s="6">
        <v>0</v>
      </c>
      <c r="D483" s="6">
        <v>0</v>
      </c>
      <c r="E483" s="6">
        <v>0</v>
      </c>
      <c r="I483"/>
      <c r="K483"/>
    </row>
    <row r="484" spans="1:11" x14ac:dyDescent="0.2">
      <c r="A484" s="3" t="s">
        <v>8</v>
      </c>
      <c r="B484" s="10">
        <f>SUM(B479:B483)</f>
        <v>0</v>
      </c>
      <c r="C484" s="10">
        <f>SUM(C479:C483)</f>
        <v>0</v>
      </c>
      <c r="D484" s="10">
        <f>SUM(D479:D483)</f>
        <v>0</v>
      </c>
      <c r="E484" s="10">
        <f>SUM(E479:E483)</f>
        <v>0</v>
      </c>
      <c r="I484"/>
      <c r="K484"/>
    </row>
    <row r="485" spans="1:11" x14ac:dyDescent="0.2">
      <c r="A485" s="2"/>
      <c r="B485" s="2"/>
      <c r="C485" s="2"/>
      <c r="D485" s="2"/>
      <c r="E485" s="2"/>
      <c r="I485"/>
      <c r="K485"/>
    </row>
    <row r="486" spans="1:11" x14ac:dyDescent="0.2">
      <c r="A486" s="2">
        <v>14</v>
      </c>
      <c r="B486" s="5">
        <v>0</v>
      </c>
      <c r="C486" s="5">
        <v>0</v>
      </c>
      <c r="D486" s="5">
        <v>0</v>
      </c>
      <c r="E486" s="5">
        <v>0</v>
      </c>
      <c r="I486"/>
      <c r="K486"/>
    </row>
    <row r="487" spans="1:11" x14ac:dyDescent="0.2">
      <c r="A487" s="2">
        <v>15</v>
      </c>
      <c r="B487" s="5">
        <v>0</v>
      </c>
      <c r="C487" s="5">
        <v>0</v>
      </c>
      <c r="D487" s="5">
        <v>0</v>
      </c>
      <c r="E487" s="5">
        <v>0</v>
      </c>
      <c r="I487"/>
      <c r="K487"/>
    </row>
    <row r="488" spans="1:11" x14ac:dyDescent="0.2">
      <c r="A488" s="2">
        <v>16</v>
      </c>
      <c r="B488" s="5">
        <v>0</v>
      </c>
      <c r="C488" s="5">
        <v>0</v>
      </c>
      <c r="D488" s="5">
        <v>0</v>
      </c>
      <c r="E488" s="5">
        <v>0</v>
      </c>
      <c r="I488"/>
      <c r="K488"/>
    </row>
    <row r="489" spans="1:11" x14ac:dyDescent="0.2">
      <c r="A489" s="2">
        <v>17</v>
      </c>
      <c r="B489" s="5">
        <v>0</v>
      </c>
      <c r="C489" s="5">
        <v>0</v>
      </c>
      <c r="D489" s="5">
        <v>0</v>
      </c>
      <c r="E489" s="5">
        <v>0</v>
      </c>
      <c r="I489"/>
      <c r="K489"/>
    </row>
    <row r="490" spans="1:11" x14ac:dyDescent="0.2">
      <c r="A490" s="2">
        <v>18</v>
      </c>
      <c r="B490" s="5">
        <v>0</v>
      </c>
      <c r="C490" s="6">
        <v>0</v>
      </c>
      <c r="D490" s="6">
        <v>0</v>
      </c>
      <c r="E490" s="6">
        <v>0</v>
      </c>
      <c r="I490"/>
      <c r="K490"/>
    </row>
    <row r="491" spans="1:11" x14ac:dyDescent="0.2">
      <c r="A491" s="3" t="s">
        <v>8</v>
      </c>
      <c r="B491" s="10">
        <f>SUM(B486:B490)</f>
        <v>0</v>
      </c>
      <c r="C491" s="10">
        <f>SUM(C486:C490)</f>
        <v>0</v>
      </c>
      <c r="D491" s="10">
        <f>SUM(D486:D490)</f>
        <v>0</v>
      </c>
      <c r="E491" s="10">
        <f>SUM(E486:E490)</f>
        <v>0</v>
      </c>
      <c r="I491"/>
      <c r="K491"/>
    </row>
    <row r="492" spans="1:11" x14ac:dyDescent="0.2">
      <c r="A492" s="2"/>
      <c r="B492" s="2"/>
      <c r="C492" s="2"/>
      <c r="D492" s="2"/>
      <c r="E492" s="2"/>
      <c r="I492"/>
      <c r="K492"/>
    </row>
    <row r="493" spans="1:11" x14ac:dyDescent="0.2">
      <c r="A493" s="2">
        <v>21</v>
      </c>
      <c r="B493" s="5">
        <v>0</v>
      </c>
      <c r="C493" s="5">
        <v>0</v>
      </c>
      <c r="D493" s="5">
        <v>0</v>
      </c>
      <c r="E493" s="5">
        <v>0</v>
      </c>
      <c r="I493"/>
      <c r="K493"/>
    </row>
    <row r="494" spans="1:11" x14ac:dyDescent="0.2">
      <c r="A494" s="2">
        <v>22</v>
      </c>
      <c r="B494" s="5">
        <v>0</v>
      </c>
      <c r="C494" s="5">
        <v>0</v>
      </c>
      <c r="D494" s="5">
        <v>0</v>
      </c>
      <c r="E494" s="5">
        <v>0</v>
      </c>
      <c r="I494"/>
      <c r="K494"/>
    </row>
    <row r="495" spans="1:11" x14ac:dyDescent="0.2">
      <c r="A495" s="2">
        <v>23</v>
      </c>
      <c r="B495" s="5">
        <v>0</v>
      </c>
      <c r="C495" s="5">
        <v>0</v>
      </c>
      <c r="D495" s="5">
        <v>0</v>
      </c>
      <c r="E495" s="5">
        <v>0</v>
      </c>
      <c r="I495"/>
      <c r="K495"/>
    </row>
    <row r="496" spans="1:11" x14ac:dyDescent="0.2">
      <c r="A496" s="2">
        <v>24</v>
      </c>
      <c r="B496" s="5">
        <v>0</v>
      </c>
      <c r="C496" s="5">
        <v>0</v>
      </c>
      <c r="D496" s="5">
        <v>0</v>
      </c>
      <c r="E496" s="5">
        <v>0</v>
      </c>
      <c r="I496"/>
      <c r="K496"/>
    </row>
    <row r="497" spans="1:11" x14ac:dyDescent="0.2">
      <c r="A497" s="2">
        <v>25</v>
      </c>
      <c r="B497" s="5">
        <v>0</v>
      </c>
      <c r="C497" s="6">
        <v>0</v>
      </c>
      <c r="D497" s="6">
        <v>0</v>
      </c>
      <c r="E497" s="6">
        <v>0</v>
      </c>
      <c r="I497"/>
      <c r="K497"/>
    </row>
    <row r="498" spans="1:11" x14ac:dyDescent="0.2">
      <c r="A498" s="3" t="s">
        <v>8</v>
      </c>
      <c r="B498" s="10">
        <f>SUM(B493:B497)</f>
        <v>0</v>
      </c>
      <c r="C498" s="10">
        <f>SUM(C493:C497)</f>
        <v>0</v>
      </c>
      <c r="D498" s="10">
        <f>SUM(D493:D497)</f>
        <v>0</v>
      </c>
      <c r="E498" s="10">
        <f>SUM(E493:E497)</f>
        <v>0</v>
      </c>
      <c r="I498"/>
      <c r="K498"/>
    </row>
    <row r="499" spans="1:11" x14ac:dyDescent="0.2">
      <c r="A499" s="2"/>
      <c r="B499" s="2"/>
      <c r="C499" s="2"/>
      <c r="D499" s="2"/>
      <c r="E499" s="2"/>
      <c r="I499"/>
      <c r="K499"/>
    </row>
    <row r="500" spans="1:11" x14ac:dyDescent="0.2">
      <c r="A500" s="2">
        <v>28</v>
      </c>
      <c r="B500" s="5">
        <v>0</v>
      </c>
      <c r="C500" s="5">
        <v>0</v>
      </c>
      <c r="D500" s="5">
        <v>0</v>
      </c>
      <c r="E500" s="5">
        <v>0</v>
      </c>
      <c r="I500"/>
      <c r="K500"/>
    </row>
    <row r="501" spans="1:11" x14ac:dyDescent="0.2">
      <c r="A501" s="2">
        <v>29</v>
      </c>
      <c r="B501" s="5">
        <v>0</v>
      </c>
      <c r="C501" s="5">
        <v>0</v>
      </c>
      <c r="D501" s="5">
        <v>0</v>
      </c>
      <c r="E501" s="5">
        <v>0</v>
      </c>
      <c r="I501"/>
      <c r="K501"/>
    </row>
    <row r="502" spans="1:11" x14ac:dyDescent="0.2">
      <c r="A502" s="2">
        <v>30</v>
      </c>
      <c r="B502" s="5">
        <v>0</v>
      </c>
      <c r="C502" s="5">
        <v>0</v>
      </c>
      <c r="D502" s="5">
        <v>0</v>
      </c>
      <c r="E502" s="5">
        <v>0</v>
      </c>
      <c r="I502"/>
      <c r="K502"/>
    </row>
    <row r="503" spans="1:11" x14ac:dyDescent="0.2">
      <c r="A503" s="2"/>
      <c r="B503" s="5">
        <v>0</v>
      </c>
      <c r="C503" s="5">
        <v>0</v>
      </c>
      <c r="D503" s="5">
        <v>0</v>
      </c>
      <c r="E503" s="5">
        <v>0</v>
      </c>
      <c r="I503"/>
      <c r="K503"/>
    </row>
    <row r="504" spans="1:11" ht="12" customHeight="1" x14ac:dyDescent="0.2">
      <c r="A504" s="2"/>
      <c r="B504" s="5">
        <v>0</v>
      </c>
      <c r="C504" s="6">
        <v>0</v>
      </c>
      <c r="D504" s="6">
        <v>0</v>
      </c>
      <c r="E504" s="6">
        <v>0</v>
      </c>
      <c r="I504"/>
      <c r="K504"/>
    </row>
    <row r="505" spans="1:11" x14ac:dyDescent="0.2">
      <c r="A505" s="3" t="s">
        <v>8</v>
      </c>
      <c r="B505" s="10">
        <f>SUM(B500:B504)</f>
        <v>0</v>
      </c>
      <c r="C505" s="10">
        <f>SUM(C500:C504)</f>
        <v>0</v>
      </c>
      <c r="D505" s="10">
        <f>SUM(D500:D504)</f>
        <v>0</v>
      </c>
      <c r="E505" s="10">
        <f>SUM(E500:E504)</f>
        <v>0</v>
      </c>
      <c r="I505"/>
      <c r="K505"/>
    </row>
    <row r="506" spans="1:11" x14ac:dyDescent="0.2">
      <c r="A506" s="2"/>
      <c r="B506" s="2"/>
      <c r="C506" s="2"/>
      <c r="D506" s="2"/>
      <c r="E506" s="2"/>
      <c r="I506"/>
      <c r="K506"/>
    </row>
    <row r="507" spans="1:11" x14ac:dyDescent="0.2">
      <c r="A507" s="2" t="s">
        <v>9</v>
      </c>
      <c r="B507" s="2">
        <v>0</v>
      </c>
      <c r="C507" s="2">
        <v>0</v>
      </c>
      <c r="D507" s="2">
        <v>0</v>
      </c>
      <c r="E507" s="2">
        <v>0</v>
      </c>
      <c r="I507"/>
      <c r="K507"/>
    </row>
    <row r="508" spans="1:11" x14ac:dyDescent="0.2">
      <c r="A508" s="2" t="s">
        <v>10</v>
      </c>
      <c r="B508" s="2">
        <v>0</v>
      </c>
      <c r="C508" s="9">
        <v>0</v>
      </c>
      <c r="D508" s="9">
        <v>0</v>
      </c>
      <c r="E508" s="9">
        <v>0</v>
      </c>
      <c r="I508"/>
      <c r="K508"/>
    </row>
    <row r="509" spans="1:11" x14ac:dyDescent="0.2">
      <c r="A509" s="2"/>
      <c r="B509" s="2"/>
      <c r="C509" s="2"/>
      <c r="D509" s="2"/>
      <c r="E509" s="2"/>
      <c r="I509"/>
      <c r="K509"/>
    </row>
    <row r="510" spans="1:11" x14ac:dyDescent="0.2">
      <c r="A510" s="3" t="s">
        <v>6</v>
      </c>
      <c r="B510" s="10">
        <f>+B477+B484+B491+B498+B505+B507+B508</f>
        <v>0</v>
      </c>
      <c r="C510" s="10">
        <f>+C505+C498+C491+C484+C477</f>
        <v>0</v>
      </c>
      <c r="D510" s="10">
        <f>+D505+D498+D491+D484+D477</f>
        <v>0</v>
      </c>
      <c r="E510" s="10">
        <f>+E505+E498+E491+E484+E477</f>
        <v>0</v>
      </c>
      <c r="I510"/>
      <c r="K510"/>
    </row>
    <row r="511" spans="1:11" x14ac:dyDescent="0.2">
      <c r="B511" s="1"/>
      <c r="C511" s="1"/>
      <c r="D511" s="1"/>
      <c r="I511"/>
      <c r="K511"/>
    </row>
    <row r="512" spans="1:11" x14ac:dyDescent="0.2">
      <c r="A512" s="26"/>
      <c r="B512" s="26"/>
      <c r="C512" s="26"/>
      <c r="D512" s="26"/>
      <c r="I512"/>
      <c r="K512"/>
    </row>
    <row r="513" spans="1:11" x14ac:dyDescent="0.2">
      <c r="A513" s="11" t="s">
        <v>30</v>
      </c>
      <c r="B513" s="9"/>
      <c r="C513" s="2"/>
      <c r="D513" s="2"/>
      <c r="I513"/>
      <c r="K513"/>
    </row>
    <row r="514" spans="1:11" x14ac:dyDescent="0.2">
      <c r="A514" s="9"/>
      <c r="B514" s="9"/>
      <c r="C514" s="2"/>
      <c r="D514" s="2"/>
      <c r="I514"/>
      <c r="K514"/>
    </row>
    <row r="515" spans="1:11" x14ac:dyDescent="0.2">
      <c r="A515" s="2"/>
      <c r="B515" s="2"/>
      <c r="C515" s="2"/>
      <c r="D515" s="2"/>
      <c r="I515"/>
      <c r="K515"/>
    </row>
    <row r="516" spans="1:11" x14ac:dyDescent="0.2">
      <c r="A516" s="4"/>
      <c r="B516" s="11" t="s">
        <v>47</v>
      </c>
      <c r="C516" s="11" t="s">
        <v>46</v>
      </c>
      <c r="D516" s="11" t="s">
        <v>48</v>
      </c>
      <c r="E516" s="11" t="s">
        <v>49</v>
      </c>
      <c r="I516"/>
      <c r="K516"/>
    </row>
    <row r="517" spans="1:11" x14ac:dyDescent="0.2">
      <c r="A517" s="2"/>
      <c r="B517" s="2"/>
      <c r="C517" s="2"/>
      <c r="D517" s="2"/>
      <c r="E517" s="2"/>
      <c r="I517"/>
      <c r="K517"/>
    </row>
    <row r="518" spans="1:11" x14ac:dyDescent="0.2">
      <c r="A518" s="2"/>
      <c r="B518" s="5">
        <v>0</v>
      </c>
      <c r="C518" s="5">
        <v>0</v>
      </c>
      <c r="D518" s="5">
        <v>0</v>
      </c>
      <c r="E518" s="5">
        <v>0</v>
      </c>
      <c r="I518"/>
      <c r="K518"/>
    </row>
    <row r="519" spans="1:11" x14ac:dyDescent="0.2">
      <c r="A519" s="2"/>
      <c r="B519" s="5">
        <v>0</v>
      </c>
      <c r="C519" s="5">
        <v>0</v>
      </c>
      <c r="D519" s="5">
        <v>0</v>
      </c>
      <c r="E519" s="5">
        <v>0</v>
      </c>
      <c r="I519"/>
      <c r="K519"/>
    </row>
    <row r="520" spans="1:11" x14ac:dyDescent="0.2">
      <c r="A520" s="2"/>
      <c r="B520" s="5">
        <v>0</v>
      </c>
      <c r="C520" s="5">
        <v>0</v>
      </c>
      <c r="D520" s="5">
        <v>0</v>
      </c>
      <c r="E520" s="5">
        <v>0</v>
      </c>
      <c r="I520"/>
      <c r="K520"/>
    </row>
    <row r="521" spans="1:11" x14ac:dyDescent="0.2">
      <c r="A521" s="7">
        <v>1</v>
      </c>
      <c r="B521" s="5">
        <v>0</v>
      </c>
      <c r="C521" s="5">
        <v>0</v>
      </c>
      <c r="D521" s="5">
        <v>0</v>
      </c>
      <c r="E521" s="5">
        <v>0</v>
      </c>
      <c r="I521"/>
      <c r="K521"/>
    </row>
    <row r="522" spans="1:11" x14ac:dyDescent="0.2">
      <c r="A522" s="7">
        <v>2</v>
      </c>
      <c r="B522" s="6">
        <v>0</v>
      </c>
      <c r="C522" s="6">
        <v>0</v>
      </c>
      <c r="D522" s="6">
        <v>0</v>
      </c>
      <c r="E522" s="6">
        <v>0</v>
      </c>
      <c r="I522"/>
      <c r="K522"/>
    </row>
    <row r="523" spans="1:11" x14ac:dyDescent="0.2">
      <c r="A523" s="3" t="s">
        <v>8</v>
      </c>
      <c r="B523" s="10">
        <f>SUM(B518:B522)</f>
        <v>0</v>
      </c>
      <c r="C523" s="10">
        <f>SUM(C518:C522)</f>
        <v>0</v>
      </c>
      <c r="D523" s="10">
        <f>SUM(D518:D522)</f>
        <v>0</v>
      </c>
      <c r="E523" s="10">
        <f>SUM(E518:E522)</f>
        <v>0</v>
      </c>
      <c r="I523"/>
      <c r="K523"/>
    </row>
    <row r="524" spans="1:11" x14ac:dyDescent="0.2">
      <c r="A524" s="2"/>
      <c r="B524" s="2"/>
      <c r="C524" s="2"/>
      <c r="D524" s="2"/>
      <c r="E524" s="2"/>
      <c r="I524"/>
      <c r="K524"/>
    </row>
    <row r="525" spans="1:11" x14ac:dyDescent="0.2">
      <c r="A525" s="7">
        <v>5</v>
      </c>
      <c r="B525" s="5">
        <v>0</v>
      </c>
      <c r="C525" s="5">
        <v>0</v>
      </c>
      <c r="D525" s="5">
        <v>0</v>
      </c>
      <c r="E525" s="5">
        <v>0</v>
      </c>
      <c r="I525"/>
      <c r="K525"/>
    </row>
    <row r="526" spans="1:11" x14ac:dyDescent="0.2">
      <c r="A526" s="7">
        <v>6</v>
      </c>
      <c r="B526" s="5">
        <v>0</v>
      </c>
      <c r="C526" s="5">
        <v>0</v>
      </c>
      <c r="D526" s="5">
        <v>0</v>
      </c>
      <c r="E526" s="5">
        <v>0</v>
      </c>
      <c r="I526"/>
      <c r="K526"/>
    </row>
    <row r="527" spans="1:11" x14ac:dyDescent="0.2">
      <c r="A527" s="7">
        <v>7</v>
      </c>
      <c r="B527" s="5">
        <v>0</v>
      </c>
      <c r="C527" s="5">
        <v>0</v>
      </c>
      <c r="D527" s="5">
        <v>0</v>
      </c>
      <c r="E527" s="5">
        <v>0</v>
      </c>
      <c r="I527"/>
      <c r="K527"/>
    </row>
    <row r="528" spans="1:11" x14ac:dyDescent="0.2">
      <c r="A528" s="7">
        <v>8</v>
      </c>
      <c r="B528" s="5">
        <v>0</v>
      </c>
      <c r="C528" s="5">
        <v>0</v>
      </c>
      <c r="D528" s="5">
        <v>0</v>
      </c>
      <c r="E528" s="5">
        <v>0</v>
      </c>
      <c r="I528"/>
      <c r="K528"/>
    </row>
    <row r="529" spans="1:11" x14ac:dyDescent="0.2">
      <c r="A529" s="8">
        <v>9</v>
      </c>
      <c r="B529" s="5">
        <v>0</v>
      </c>
      <c r="C529" s="6">
        <v>0</v>
      </c>
      <c r="D529" s="6">
        <v>0</v>
      </c>
      <c r="E529" s="6">
        <v>0</v>
      </c>
      <c r="I529"/>
      <c r="K529"/>
    </row>
    <row r="530" spans="1:11" x14ac:dyDescent="0.2">
      <c r="A530" s="3" t="s">
        <v>8</v>
      </c>
      <c r="B530" s="10">
        <f>SUM(B525:B529)</f>
        <v>0</v>
      </c>
      <c r="C530" s="10">
        <f>SUM(C525:C529)</f>
        <v>0</v>
      </c>
      <c r="D530" s="10">
        <f>SUM(D525:D529)</f>
        <v>0</v>
      </c>
      <c r="E530" s="10">
        <f>SUM(E525:E529)</f>
        <v>0</v>
      </c>
      <c r="I530"/>
      <c r="K530"/>
    </row>
    <row r="531" spans="1:11" x14ac:dyDescent="0.2">
      <c r="A531" s="2"/>
      <c r="B531" s="2"/>
      <c r="C531" s="2"/>
      <c r="D531" s="2"/>
      <c r="E531" s="2"/>
      <c r="I531"/>
      <c r="K531"/>
    </row>
    <row r="532" spans="1:11" x14ac:dyDescent="0.2">
      <c r="A532" s="2">
        <v>12</v>
      </c>
      <c r="B532" s="5">
        <v>0</v>
      </c>
      <c r="C532" s="5">
        <v>0</v>
      </c>
      <c r="D532" s="5">
        <v>0</v>
      </c>
      <c r="E532" s="5">
        <v>0</v>
      </c>
      <c r="I532"/>
      <c r="K532"/>
    </row>
    <row r="533" spans="1:11" x14ac:dyDescent="0.2">
      <c r="A533" s="2">
        <v>13</v>
      </c>
      <c r="B533" s="5">
        <v>0</v>
      </c>
      <c r="C533" s="5">
        <v>0</v>
      </c>
      <c r="D533" s="5">
        <v>0</v>
      </c>
      <c r="E533" s="5">
        <v>0</v>
      </c>
      <c r="I533"/>
      <c r="K533"/>
    </row>
    <row r="534" spans="1:11" x14ac:dyDescent="0.2">
      <c r="A534" s="2">
        <v>14</v>
      </c>
      <c r="B534" s="5">
        <v>0</v>
      </c>
      <c r="C534" s="5">
        <v>0</v>
      </c>
      <c r="D534" s="5">
        <v>0</v>
      </c>
      <c r="E534" s="5">
        <v>0</v>
      </c>
      <c r="I534"/>
      <c r="K534"/>
    </row>
    <row r="535" spans="1:11" x14ac:dyDescent="0.2">
      <c r="A535" s="2">
        <v>15</v>
      </c>
      <c r="B535" s="5">
        <v>0</v>
      </c>
      <c r="C535" s="5">
        <v>0</v>
      </c>
      <c r="D535" s="5">
        <v>0</v>
      </c>
      <c r="E535" s="5">
        <v>0</v>
      </c>
      <c r="I535"/>
      <c r="K535"/>
    </row>
    <row r="536" spans="1:11" x14ac:dyDescent="0.2">
      <c r="A536" s="2">
        <v>16</v>
      </c>
      <c r="B536" s="5">
        <v>0</v>
      </c>
      <c r="C536" s="6">
        <v>0</v>
      </c>
      <c r="D536" s="6">
        <v>0</v>
      </c>
      <c r="E536" s="6">
        <v>0</v>
      </c>
      <c r="I536"/>
      <c r="K536"/>
    </row>
    <row r="537" spans="1:11" x14ac:dyDescent="0.2">
      <c r="A537" s="3" t="s">
        <v>8</v>
      </c>
      <c r="B537" s="10">
        <f>SUM(B532:B536)</f>
        <v>0</v>
      </c>
      <c r="C537" s="10">
        <f>SUM(C532:C536)</f>
        <v>0</v>
      </c>
      <c r="D537" s="10">
        <f>SUM(D532:D536)</f>
        <v>0</v>
      </c>
      <c r="E537" s="10">
        <f>SUM(E532:E536)</f>
        <v>0</v>
      </c>
      <c r="I537"/>
      <c r="K537"/>
    </row>
    <row r="538" spans="1:11" x14ac:dyDescent="0.2">
      <c r="A538" s="2"/>
      <c r="B538" s="2"/>
      <c r="C538" s="2"/>
      <c r="D538" s="2"/>
      <c r="E538" s="2"/>
      <c r="I538"/>
      <c r="K538"/>
    </row>
    <row r="539" spans="1:11" x14ac:dyDescent="0.2">
      <c r="A539" s="2">
        <v>19</v>
      </c>
      <c r="B539" s="5">
        <v>0</v>
      </c>
      <c r="C539" s="5">
        <v>0</v>
      </c>
      <c r="D539" s="5">
        <v>0</v>
      </c>
      <c r="E539" s="5">
        <v>0</v>
      </c>
      <c r="I539"/>
      <c r="K539"/>
    </row>
    <row r="540" spans="1:11" x14ac:dyDescent="0.2">
      <c r="A540" s="2">
        <v>20</v>
      </c>
      <c r="B540" s="5">
        <v>0</v>
      </c>
      <c r="C540" s="5">
        <v>0</v>
      </c>
      <c r="D540" s="5">
        <v>0</v>
      </c>
      <c r="E540" s="5">
        <v>0</v>
      </c>
      <c r="I540"/>
      <c r="K540"/>
    </row>
    <row r="541" spans="1:11" x14ac:dyDescent="0.2">
      <c r="A541" s="2">
        <v>21</v>
      </c>
      <c r="B541" s="5">
        <v>0</v>
      </c>
      <c r="C541" s="5">
        <v>0</v>
      </c>
      <c r="D541" s="5">
        <v>0</v>
      </c>
      <c r="E541" s="5">
        <v>0</v>
      </c>
      <c r="I541"/>
      <c r="K541"/>
    </row>
    <row r="542" spans="1:11" x14ac:dyDescent="0.2">
      <c r="A542" s="2">
        <v>22</v>
      </c>
      <c r="B542" s="5">
        <v>0</v>
      </c>
      <c r="C542" s="5">
        <v>0</v>
      </c>
      <c r="D542" s="5">
        <v>0</v>
      </c>
      <c r="E542" s="5">
        <v>0</v>
      </c>
      <c r="I542"/>
      <c r="K542"/>
    </row>
    <row r="543" spans="1:11" x14ac:dyDescent="0.2">
      <c r="A543" s="2">
        <v>23</v>
      </c>
      <c r="B543" s="5">
        <v>0</v>
      </c>
      <c r="C543" s="6">
        <v>0</v>
      </c>
      <c r="D543" s="6">
        <v>0</v>
      </c>
      <c r="E543" s="6">
        <v>0</v>
      </c>
      <c r="I543"/>
      <c r="K543"/>
    </row>
    <row r="544" spans="1:11" x14ac:dyDescent="0.2">
      <c r="A544" s="3" t="s">
        <v>8</v>
      </c>
      <c r="B544" s="10">
        <f>SUM(B539:B543)</f>
        <v>0</v>
      </c>
      <c r="C544" s="10">
        <f>SUM(C539:C543)</f>
        <v>0</v>
      </c>
      <c r="D544" s="10">
        <f>SUM(D539:D543)</f>
        <v>0</v>
      </c>
      <c r="E544" s="10">
        <f>SUM(E539:E543)</f>
        <v>0</v>
      </c>
      <c r="I544"/>
      <c r="K544"/>
    </row>
    <row r="545" spans="1:11" x14ac:dyDescent="0.2">
      <c r="A545" s="2"/>
      <c r="B545" s="2"/>
      <c r="C545" s="2"/>
      <c r="D545" s="2"/>
      <c r="E545" s="2"/>
      <c r="I545"/>
      <c r="K545"/>
    </row>
    <row r="546" spans="1:11" x14ac:dyDescent="0.2">
      <c r="A546" s="2">
        <v>26</v>
      </c>
      <c r="B546" s="5">
        <v>0</v>
      </c>
      <c r="C546" s="5">
        <v>0</v>
      </c>
      <c r="D546" s="5">
        <v>0</v>
      </c>
      <c r="E546" s="5">
        <v>0</v>
      </c>
      <c r="I546"/>
      <c r="K546"/>
    </row>
    <row r="547" spans="1:11" x14ac:dyDescent="0.2">
      <c r="A547" s="2">
        <v>27</v>
      </c>
      <c r="B547" s="5">
        <v>0</v>
      </c>
      <c r="C547" s="5">
        <v>0</v>
      </c>
      <c r="D547" s="5">
        <v>0</v>
      </c>
      <c r="E547" s="5">
        <v>0</v>
      </c>
      <c r="I547"/>
      <c r="K547"/>
    </row>
    <row r="548" spans="1:11" x14ac:dyDescent="0.2">
      <c r="A548" s="2">
        <v>28</v>
      </c>
      <c r="B548" s="5">
        <v>0</v>
      </c>
      <c r="C548" s="5">
        <v>0</v>
      </c>
      <c r="D548" s="5">
        <v>0</v>
      </c>
      <c r="E548" s="5">
        <v>0</v>
      </c>
      <c r="I548"/>
      <c r="K548"/>
    </row>
    <row r="549" spans="1:11" x14ac:dyDescent="0.2">
      <c r="A549" s="2">
        <v>29</v>
      </c>
      <c r="B549" s="5">
        <v>0</v>
      </c>
      <c r="C549" s="5">
        <v>0</v>
      </c>
      <c r="D549" s="5">
        <v>0</v>
      </c>
      <c r="E549" s="5">
        <v>0</v>
      </c>
      <c r="I549"/>
      <c r="K549"/>
    </row>
    <row r="550" spans="1:11" x14ac:dyDescent="0.2">
      <c r="A550" s="2">
        <v>30</v>
      </c>
      <c r="B550" s="5">
        <v>0</v>
      </c>
      <c r="C550" s="6">
        <v>0</v>
      </c>
      <c r="D550" s="6">
        <v>0</v>
      </c>
      <c r="E550" s="6">
        <v>0</v>
      </c>
      <c r="I550"/>
      <c r="K550"/>
    </row>
    <row r="551" spans="1:11" x14ac:dyDescent="0.2">
      <c r="A551" s="3" t="s">
        <v>8</v>
      </c>
      <c r="B551" s="10">
        <f>SUM(B546:B550)</f>
        <v>0</v>
      </c>
      <c r="C551" s="10">
        <f>SUM(C546:C550)</f>
        <v>0</v>
      </c>
      <c r="D551" s="10">
        <f>SUM(D546:D550)</f>
        <v>0</v>
      </c>
      <c r="E551" s="10">
        <f>SUM(E546:E550)</f>
        <v>0</v>
      </c>
    </row>
    <row r="552" spans="1:11" x14ac:dyDescent="0.2">
      <c r="A552" s="2"/>
      <c r="B552" s="2"/>
      <c r="C552" s="2"/>
      <c r="D552" s="2"/>
      <c r="E552" s="2"/>
    </row>
    <row r="553" spans="1:11" x14ac:dyDescent="0.2">
      <c r="A553" s="2">
        <v>31</v>
      </c>
      <c r="B553" s="5">
        <v>0</v>
      </c>
      <c r="C553" s="6">
        <v>0</v>
      </c>
      <c r="D553" s="6">
        <v>0</v>
      </c>
      <c r="E553" s="6">
        <v>0</v>
      </c>
    </row>
    <row r="554" spans="1:11" x14ac:dyDescent="0.2">
      <c r="A554" s="3" t="s">
        <v>8</v>
      </c>
      <c r="B554" s="10">
        <f>SUM(B553:B553)</f>
        <v>0</v>
      </c>
      <c r="C554" s="10">
        <f t="shared" ref="C554:E554" si="4">SUM(C553:C553)</f>
        <v>0</v>
      </c>
      <c r="D554" s="10">
        <f t="shared" si="4"/>
        <v>0</v>
      </c>
      <c r="E554" s="10">
        <f t="shared" si="4"/>
        <v>0</v>
      </c>
    </row>
    <row r="555" spans="1:11" x14ac:dyDescent="0.2">
      <c r="A555" s="2"/>
      <c r="B555" s="2"/>
      <c r="C555" s="2"/>
      <c r="D555" s="2"/>
      <c r="E555" s="2"/>
    </row>
    <row r="556" spans="1:11" x14ac:dyDescent="0.2">
      <c r="A556" s="2" t="s">
        <v>9</v>
      </c>
      <c r="B556" s="2">
        <v>0</v>
      </c>
      <c r="C556" s="2">
        <v>0</v>
      </c>
      <c r="D556" s="2">
        <v>0</v>
      </c>
      <c r="E556" s="2">
        <v>0</v>
      </c>
    </row>
    <row r="557" spans="1:11" x14ac:dyDescent="0.2">
      <c r="A557" s="2" t="s">
        <v>10</v>
      </c>
      <c r="B557" s="2">
        <v>0</v>
      </c>
      <c r="C557" s="9">
        <v>0</v>
      </c>
      <c r="D557" s="9">
        <v>0</v>
      </c>
      <c r="E557" s="9">
        <v>0</v>
      </c>
    </row>
    <row r="558" spans="1:11" x14ac:dyDescent="0.2">
      <c r="A558" s="2"/>
      <c r="B558" s="2"/>
      <c r="C558" s="2"/>
      <c r="D558" s="2"/>
      <c r="E558" s="2"/>
    </row>
    <row r="559" spans="1:11" x14ac:dyDescent="0.2">
      <c r="A559" s="3" t="s">
        <v>6</v>
      </c>
      <c r="B559" s="10">
        <f>+B523+B530+B537+B544+B551+B556+B557+B554</f>
        <v>0</v>
      </c>
      <c r="C559" s="10">
        <f t="shared" ref="C559:E559" si="5">+C523+C530+C537+C544+C551+C556+C557+C554</f>
        <v>0</v>
      </c>
      <c r="D559" s="10">
        <f t="shared" si="5"/>
        <v>0</v>
      </c>
      <c r="E559" s="10">
        <f t="shared" si="5"/>
        <v>0</v>
      </c>
    </row>
    <row r="560" spans="1:11" x14ac:dyDescent="0.2">
      <c r="B560" s="1"/>
      <c r="C560" s="1"/>
      <c r="D560" s="1"/>
    </row>
    <row r="561" spans="1:4" x14ac:dyDescent="0.2">
      <c r="A561" s="26"/>
      <c r="B561" s="26"/>
      <c r="C561" s="26"/>
      <c r="D561" s="2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CashS</vt:lpstr>
      <vt:lpstr>Deposits</vt:lpstr>
      <vt:lpstr>Disb</vt:lpstr>
    </vt:vector>
  </TitlesOfParts>
  <Company>DNC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Jessica TeSelle</cp:lastModifiedBy>
  <cp:lastPrinted>2016-04-21T17:21:30Z</cp:lastPrinted>
  <dcterms:created xsi:type="dcterms:W3CDTF">2003-05-13T19:11:27Z</dcterms:created>
  <dcterms:modified xsi:type="dcterms:W3CDTF">2016-05-20T15:39:55Z</dcterms:modified>
</cp:coreProperties>
</file>