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Sheet1" sheetId="1" r:id="rId1"/>
    <sheet name="Sheet2" sheetId="2" r:id="rId2"/>
    <sheet name="Sheet3" sheetId="3" r:id="rId3"/>
  </sheets>
  <calcPr calcId="125725"/>
  <fileRecoveryPr repairLoad="1"/>
</workbook>
</file>

<file path=xl/calcChain.xml><?xml version="1.0" encoding="utf-8"?>
<calcChain xmlns="http://schemas.openxmlformats.org/spreadsheetml/2006/main">
  <c r="C79" i="1"/>
  <c r="D51"/>
  <c r="C52" s="1"/>
  <c r="C80"/>
  <c r="C73"/>
  <c r="G42"/>
  <c r="F42"/>
  <c r="C62"/>
  <c r="C63"/>
  <c r="C61"/>
  <c r="D63"/>
  <c r="D62"/>
  <c r="D61"/>
  <c r="C43"/>
  <c r="C31"/>
  <c r="C35" s="1"/>
  <c r="C37" s="1"/>
  <c r="O13"/>
  <c r="O7"/>
  <c r="O8"/>
  <c r="O9"/>
  <c r="O10"/>
  <c r="O11"/>
  <c r="O12"/>
  <c r="O6"/>
  <c r="K13"/>
  <c r="K7"/>
  <c r="K8"/>
  <c r="K9"/>
  <c r="K10"/>
  <c r="K11"/>
  <c r="K12"/>
  <c r="K6"/>
  <c r="C11"/>
  <c r="C13" s="1"/>
  <c r="C18" s="1"/>
  <c r="C21" s="1"/>
  <c r="C10"/>
  <c r="C12" s="1"/>
  <c r="C17" s="1"/>
  <c r="C20" s="1"/>
  <c r="C55" l="1"/>
  <c r="C54"/>
  <c r="C59" s="1"/>
  <c r="C53"/>
  <c r="C67" s="1"/>
  <c r="E61"/>
  <c r="F61" s="1"/>
  <c r="C77"/>
  <c r="C87" s="1"/>
  <c r="C76"/>
  <c r="C84" s="1"/>
  <c r="D84" s="1"/>
  <c r="C75"/>
  <c r="C83" s="1"/>
  <c r="E83" s="1"/>
  <c r="C34"/>
  <c r="C36" s="1"/>
  <c r="C45" s="1"/>
  <c r="C46"/>
  <c r="L7"/>
  <c r="M7" s="1"/>
  <c r="L12"/>
  <c r="M12" s="1"/>
  <c r="L13"/>
  <c r="M13" s="1"/>
  <c r="L6"/>
  <c r="M6" s="1"/>
  <c r="M11"/>
  <c r="K15"/>
  <c r="L8"/>
  <c r="L9"/>
  <c r="M9" s="1"/>
  <c r="L10"/>
  <c r="M10" s="1"/>
  <c r="L11"/>
  <c r="E63" l="1"/>
  <c r="F63" s="1"/>
  <c r="G63" s="1"/>
  <c r="C85"/>
  <c r="D85" s="1"/>
  <c r="E62"/>
  <c r="F62" s="1"/>
  <c r="G62" s="1"/>
  <c r="E84"/>
  <c r="D83"/>
  <c r="G61"/>
  <c r="C65"/>
  <c r="M8"/>
  <c r="M15" s="1"/>
  <c r="L15"/>
  <c r="E85" l="1"/>
  <c r="G65"/>
</calcChain>
</file>

<file path=xl/sharedStrings.xml><?xml version="1.0" encoding="utf-8"?>
<sst xmlns="http://schemas.openxmlformats.org/spreadsheetml/2006/main" count="118" uniqueCount="97">
  <si>
    <t>SH</t>
  </si>
  <si>
    <t>kcal/kg/K</t>
  </si>
  <si>
    <t>dens</t>
  </si>
  <si>
    <t>g/cm^2</t>
  </si>
  <si>
    <t>prusaside</t>
  </si>
  <si>
    <t>cm</t>
  </si>
  <si>
    <t>berthadia</t>
  </si>
  <si>
    <t>prusavol</t>
  </si>
  <si>
    <t>thk</t>
  </si>
  <si>
    <t>cm^3</t>
  </si>
  <si>
    <t>berthavol</t>
  </si>
  <si>
    <t>prusamass</t>
  </si>
  <si>
    <t>berthamass</t>
  </si>
  <si>
    <t>degK</t>
  </si>
  <si>
    <t>prusaheat</t>
  </si>
  <si>
    <t>kg</t>
  </si>
  <si>
    <t>Berthahest</t>
  </si>
  <si>
    <t>W-H</t>
  </si>
  <si>
    <t>prusawatt/sec for 10 min heat</t>
  </si>
  <si>
    <t>berthawatt/sec for 10 min heat</t>
  </si>
  <si>
    <t>Wh/kcal</t>
  </si>
  <si>
    <t>temp(delta only, it didn't start at absolute zero)</t>
  </si>
  <si>
    <t>PRUSA HEATING EXPERIMENT</t>
  </si>
  <si>
    <t>Time</t>
  </si>
  <si>
    <t>(Min)</t>
  </si>
  <si>
    <t>Current</t>
  </si>
  <si>
    <t>Amps</t>
  </si>
  <si>
    <t>Voltage</t>
  </si>
  <si>
    <t>Volts</t>
  </si>
  <si>
    <t>Temp</t>
  </si>
  <si>
    <t>degC</t>
  </si>
  <si>
    <t>Excess (Generated-stored)</t>
  </si>
  <si>
    <t>Generated Electrical Energy</t>
  </si>
  <si>
    <t>Change  in stored Heat Energy</t>
  </si>
  <si>
    <t>Calculated avarage Convection Heat Loss</t>
  </si>
  <si>
    <t>Watts</t>
  </si>
  <si>
    <t>Convection Energy Lost</t>
  </si>
  <si>
    <t>Hot plate was started from dead cold, data collected every minute. An earlier experiment on the plate with the bottom not insulated indicated that the heater was generating about 103 Watts to keep the plate at 100 degC. The thermal calculator (thermal-wizzard.com) calculates 107, 62W for the top and 45 for the bottom. After insulating the bottom the electrical  heat generation at steady dropped to 72 Watts. Presumably the bottom loss was reduced by about 75% to around 10W. For each temperature above ambient I ran the calculator for top and bottom and used the top+25% of the bottom, and then averaged it with the previous convection loss.</t>
  </si>
  <si>
    <t>Bertha Again</t>
  </si>
  <si>
    <t>D</t>
  </si>
  <si>
    <t>A</t>
  </si>
  <si>
    <t>Thin</t>
  </si>
  <si>
    <t>Thick</t>
  </si>
  <si>
    <t>cm^2</t>
  </si>
  <si>
    <t>Thin mass</t>
  </si>
  <si>
    <t>Thick Mass</t>
  </si>
  <si>
    <t>g</t>
  </si>
  <si>
    <t>90 deg C rise heat energy, thin</t>
  </si>
  <si>
    <t>90 deg C rise heat energy, thick</t>
  </si>
  <si>
    <t>Convection loss, room T</t>
  </si>
  <si>
    <t>Convection Loss, 50 deg C</t>
  </si>
  <si>
    <t>W</t>
  </si>
  <si>
    <t>Convection Loss, 80 deg C</t>
  </si>
  <si>
    <t>Convection Loss, 110 deg C</t>
  </si>
  <si>
    <t>Energy loss assuming 10 min, linear heat rise</t>
  </si>
  <si>
    <t>Min "HOT WATTS"</t>
  </si>
  <si>
    <t>Thin 10min energy</t>
  </si>
  <si>
    <t>Thick 10min energy</t>
  </si>
  <si>
    <t>copper tempco</t>
  </si>
  <si>
    <t>copper resistivity (20 degG)</t>
  </si>
  <si>
    <t>20 deg power ratio</t>
  </si>
  <si>
    <t>50 deg C power ratio</t>
  </si>
  <si>
    <t>80 deg C power ratio</t>
  </si>
  <si>
    <t>110 degC power ratio</t>
  </si>
  <si>
    <t>20 to 50</t>
  </si>
  <si>
    <t>Storage W-H</t>
  </si>
  <si>
    <t>plate thickness</t>
  </si>
  <si>
    <t>Cold Watts</t>
  </si>
  <si>
    <t>Convection Watts</t>
  </si>
  <si>
    <t>Piece-wise linear estimate</t>
  </si>
  <si>
    <t>Generation</t>
  </si>
  <si>
    <t>Availible</t>
  </si>
  <si>
    <t>50 to 80</t>
  </si>
  <si>
    <t>80 to 110</t>
  </si>
  <si>
    <t>Totals</t>
  </si>
  <si>
    <t xml:space="preserve">Hot Watts </t>
  </si>
  <si>
    <t>75% duty</t>
  </si>
  <si>
    <t>50% duty</t>
  </si>
  <si>
    <t>80 degC watts</t>
  </si>
  <si>
    <t>POWER BUDGET</t>
  </si>
  <si>
    <t>supply</t>
  </si>
  <si>
    <t>80% supply</t>
  </si>
  <si>
    <t>Motors</t>
  </si>
  <si>
    <t>8 windings at 6.3W ea</t>
  </si>
  <si>
    <t>Plate heating to 80</t>
  </si>
  <si>
    <t>100% margin</t>
  </si>
  <si>
    <t>80% margin</t>
  </si>
  <si>
    <t>extruders heating, plate at 80</t>
  </si>
  <si>
    <t>plate and extruders hot, motors running</t>
  </si>
  <si>
    <t>EST average</t>
  </si>
  <si>
    <t>220 degC power Ratio</t>
  </si>
  <si>
    <t>Hot Plate max power</t>
  </si>
  <si>
    <t>Cold Plate max power</t>
  </si>
  <si>
    <t>80 degC plate max power</t>
  </si>
  <si>
    <t>Cold Extruders max power</t>
  </si>
  <si>
    <t>Hot Extruders max power</t>
  </si>
  <si>
    <t>nichcrome tempco</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</si>
</sst>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xf numFmtId="49" fontId="0" fillId="0" borderId="0" xfId="0" applyNumberForma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581025</xdr:colOff>
      <xdr:row>15</xdr:row>
      <xdr:rowOff>133350</xdr:rowOff>
    </xdr:from>
    <xdr:to>
      <xdr:col>15</xdr:col>
      <xdr:colOff>161925</xdr:colOff>
      <xdr:row>27</xdr:row>
      <xdr:rowOff>95250</xdr:rowOff>
    </xdr:to>
    <xdr:sp macro="" textlink="">
      <xdr:nvSpPr>
        <xdr:cNvPr id="2" name="TextBox 1"/>
        <xdr:cNvSpPr txBox="1"/>
      </xdr:nvSpPr>
      <xdr:spPr>
        <a:xfrm>
          <a:off x="5600700" y="3562350"/>
          <a:ext cx="6391275"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Hot plate was started from dead cold, data collected every minute. An earlier experiment on the plate with the bottom not insulated indicated that the heater was generating about 103 Watts to keep the plate at 100 degC. The thermal calculator (thermal-wizzard.com) calculates 107, 62W for the top and 45 for the bottom. After insulating the bottom the electrical  heat generation at steady dropped to 72 Watts. Presumably the bottom loss was reduced by about 75% to around 10W. For each temperature above ambient I ran the calculator for top and bottom and used the top+25% of the bottom, and then averaged it with the previous convection loss.  As</a:t>
          </a:r>
          <a:r>
            <a:rPr lang="en-US" sz="1100" baseline="0"/>
            <a:t> each increment (except the last) represents a minute Watts need to be divided by 60 to get W-H. I believe these  measurements and calculations are in reasonible agreement with each other. Note that early on the excess heat is much greater than the calculated heat loss. I believe that  is due to other things not  considered heating up, such as the heater PC board.</a:t>
          </a:r>
          <a:endParaRPr lang="en-US" sz="1100"/>
        </a:p>
      </xdr:txBody>
    </xdr:sp>
    <xdr:clientData/>
  </xdr:twoCellAnchor>
  <xdr:twoCellAnchor>
    <xdr:from>
      <xdr:col>4</xdr:col>
      <xdr:colOff>485775</xdr:colOff>
      <xdr:row>70</xdr:row>
      <xdr:rowOff>19050</xdr:rowOff>
    </xdr:from>
    <xdr:to>
      <xdr:col>9</xdr:col>
      <xdr:colOff>466725</xdr:colOff>
      <xdr:row>79</xdr:row>
      <xdr:rowOff>114300</xdr:rowOff>
    </xdr:to>
    <xdr:sp macro="" textlink="">
      <xdr:nvSpPr>
        <xdr:cNvPr id="5" name="TextBox 4"/>
        <xdr:cNvSpPr txBox="1"/>
      </xdr:nvSpPr>
      <xdr:spPr>
        <a:xfrm>
          <a:off x="5581650" y="14116050"/>
          <a:ext cx="38100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power budget assumes that the GCODE runs the plate first to 80 degC and then starts the extruders (all three). The motors wont run until everything is hot enough.  The estimated avarage assumes that the hot plate and three hot extruders  run at a 75% duty cycle,</a:t>
          </a:r>
          <a:r>
            <a:rPr lang="en-US" sz="1100" baseline="0"/>
            <a:t> and that the average motor current is 70% of its holding  power. </a:t>
          </a:r>
          <a:r>
            <a:rPr lang="en-US" sz="1100"/>
            <a:t> Note that the budget uses 40W extruder heaters, many are only 25W.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O87"/>
  <sheetViews>
    <sheetView tabSelected="1" topLeftCell="A34" workbookViewId="0">
      <selection activeCell="G56" sqref="G56"/>
    </sheetView>
  </sheetViews>
  <sheetFormatPr defaultRowHeight="15"/>
  <cols>
    <col min="2" max="2" width="29.28515625" customWidth="1"/>
    <col min="3" max="3" width="21.85546875" customWidth="1"/>
    <col min="4" max="4" width="16.140625" customWidth="1"/>
    <col min="5" max="5" width="17.28515625" customWidth="1"/>
    <col min="6" max="6" width="12.7109375" customWidth="1"/>
    <col min="11" max="11" width="11.42578125" customWidth="1"/>
    <col min="12" max="12" width="11.140625" customWidth="1"/>
    <col min="13" max="13" width="12.85546875" customWidth="1"/>
    <col min="14" max="14" width="11.85546875" customWidth="1"/>
  </cols>
  <sheetData>
    <row r="2" spans="2:15">
      <c r="B2" t="s">
        <v>20</v>
      </c>
      <c r="C2">
        <v>1.163</v>
      </c>
      <c r="G2" s="3" t="s">
        <v>22</v>
      </c>
      <c r="H2" s="3"/>
      <c r="I2" s="3"/>
      <c r="J2" s="3"/>
      <c r="K2" s="3"/>
      <c r="L2" s="3"/>
      <c r="M2" s="3"/>
      <c r="N2" s="3"/>
      <c r="O2" s="3"/>
    </row>
    <row r="3" spans="2:15" ht="60">
      <c r="B3" t="s">
        <v>0</v>
      </c>
      <c r="C3">
        <v>0.22</v>
      </c>
      <c r="D3" t="s">
        <v>1</v>
      </c>
      <c r="G3" t="s">
        <v>23</v>
      </c>
      <c r="H3" t="s">
        <v>25</v>
      </c>
      <c r="I3" t="s">
        <v>27</v>
      </c>
      <c r="J3" t="s">
        <v>29</v>
      </c>
      <c r="K3" s="1" t="s">
        <v>32</v>
      </c>
      <c r="L3" s="1" t="s">
        <v>33</v>
      </c>
      <c r="M3" s="1" t="s">
        <v>31</v>
      </c>
      <c r="N3" s="1" t="s">
        <v>34</v>
      </c>
      <c r="O3" s="1" t="s">
        <v>36</v>
      </c>
    </row>
    <row r="4" spans="2:15">
      <c r="B4" t="s">
        <v>2</v>
      </c>
      <c r="C4">
        <v>2.7</v>
      </c>
      <c r="D4" t="s">
        <v>3</v>
      </c>
      <c r="G4" t="s">
        <v>24</v>
      </c>
      <c r="H4" t="s">
        <v>26</v>
      </c>
      <c r="I4" t="s">
        <v>28</v>
      </c>
      <c r="J4" t="s">
        <v>30</v>
      </c>
      <c r="K4" t="s">
        <v>17</v>
      </c>
      <c r="L4" t="s">
        <v>17</v>
      </c>
      <c r="M4" t="s">
        <v>17</v>
      </c>
      <c r="N4" t="s">
        <v>35</v>
      </c>
      <c r="O4" t="s">
        <v>17</v>
      </c>
    </row>
    <row r="5" spans="2:15">
      <c r="G5">
        <v>0</v>
      </c>
      <c r="H5">
        <v>14.2</v>
      </c>
      <c r="I5">
        <v>15.4</v>
      </c>
      <c r="J5">
        <v>20</v>
      </c>
      <c r="K5">
        <v>0</v>
      </c>
      <c r="N5">
        <v>0</v>
      </c>
    </row>
    <row r="6" spans="2:15">
      <c r="B6" t="s">
        <v>4</v>
      </c>
      <c r="C6">
        <v>22.5</v>
      </c>
      <c r="D6" t="s">
        <v>5</v>
      </c>
      <c r="G6">
        <v>1</v>
      </c>
      <c r="H6">
        <v>12.4</v>
      </c>
      <c r="I6">
        <v>15.4</v>
      </c>
      <c r="J6">
        <v>35</v>
      </c>
      <c r="K6">
        <f>(H5*I5+H6*I6)/2/60</f>
        <v>3.4136666666666664</v>
      </c>
      <c r="L6">
        <f t="shared" ref="L6:L13" si="0">(J6-J5)*C$3*C$12*C$2</f>
        <v>2.4970624717500005</v>
      </c>
      <c r="M6">
        <f>K6-L6</f>
        <v>0.91660419491666589</v>
      </c>
      <c r="N6">
        <v>5</v>
      </c>
      <c r="O6">
        <f>N6/60</f>
        <v>8.3333333333333329E-2</v>
      </c>
    </row>
    <row r="7" spans="2:15">
      <c r="B7" t="s">
        <v>6</v>
      </c>
      <c r="C7">
        <v>35</v>
      </c>
      <c r="D7" t="s">
        <v>5</v>
      </c>
      <c r="G7">
        <v>2</v>
      </c>
      <c r="H7">
        <v>11.7</v>
      </c>
      <c r="I7">
        <v>15.4</v>
      </c>
      <c r="J7">
        <v>47</v>
      </c>
      <c r="K7">
        <f t="shared" ref="K7:K12" si="1">(H6*I6+H7*I7)/2/60</f>
        <v>3.0928333333333331</v>
      </c>
      <c r="L7">
        <f t="shared" si="0"/>
        <v>1.9976499774000003</v>
      </c>
      <c r="M7">
        <f t="shared" ref="M7:M13" si="2">K7-L7</f>
        <v>1.0951833559333328</v>
      </c>
      <c r="N7">
        <v>15</v>
      </c>
      <c r="O7">
        <f t="shared" ref="O7:O12" si="3">N7/60</f>
        <v>0.25</v>
      </c>
    </row>
    <row r="8" spans="2:15">
      <c r="B8" t="s">
        <v>8</v>
      </c>
      <c r="C8">
        <v>0.47599999999999998</v>
      </c>
      <c r="D8" t="s">
        <v>5</v>
      </c>
      <c r="G8">
        <v>3</v>
      </c>
      <c r="H8">
        <v>11.4</v>
      </c>
      <c r="I8">
        <v>15.4</v>
      </c>
      <c r="J8">
        <v>58</v>
      </c>
      <c r="K8">
        <f t="shared" si="1"/>
        <v>2.9645000000000001</v>
      </c>
      <c r="L8">
        <f t="shared" si="0"/>
        <v>1.8311791459500002</v>
      </c>
      <c r="M8">
        <f t="shared" si="2"/>
        <v>1.1333208540499999</v>
      </c>
      <c r="N8">
        <v>25</v>
      </c>
      <c r="O8">
        <f t="shared" si="3"/>
        <v>0.41666666666666669</v>
      </c>
    </row>
    <row r="9" spans="2:15">
      <c r="G9">
        <v>4</v>
      </c>
      <c r="H9">
        <v>11</v>
      </c>
      <c r="I9">
        <v>15.4</v>
      </c>
      <c r="J9">
        <v>67</v>
      </c>
      <c r="K9">
        <f t="shared" si="1"/>
        <v>2.8746666666666671</v>
      </c>
      <c r="L9">
        <f t="shared" si="0"/>
        <v>1.49823748305</v>
      </c>
      <c r="M9">
        <f t="shared" si="2"/>
        <v>1.3764291836166671</v>
      </c>
      <c r="N9">
        <v>33</v>
      </c>
      <c r="O9">
        <f t="shared" si="3"/>
        <v>0.55000000000000004</v>
      </c>
    </row>
    <row r="10" spans="2:15">
      <c r="B10" t="s">
        <v>7</v>
      </c>
      <c r="C10">
        <f>C6^2*C8</f>
        <v>240.97499999999999</v>
      </c>
      <c r="D10" t="s">
        <v>9</v>
      </c>
      <c r="G10">
        <v>5</v>
      </c>
      <c r="H10">
        <v>10.6</v>
      </c>
      <c r="I10">
        <v>15.4</v>
      </c>
      <c r="J10">
        <v>77</v>
      </c>
      <c r="K10">
        <f t="shared" si="1"/>
        <v>2.7719999999999998</v>
      </c>
      <c r="L10">
        <f t="shared" si="0"/>
        <v>1.6647083145000001</v>
      </c>
      <c r="M10">
        <f t="shared" si="2"/>
        <v>1.1072916854999997</v>
      </c>
      <c r="N10">
        <v>43</v>
      </c>
      <c r="O10">
        <f t="shared" si="3"/>
        <v>0.71666666666666667</v>
      </c>
    </row>
    <row r="11" spans="2:15">
      <c r="B11" t="s">
        <v>10</v>
      </c>
      <c r="C11">
        <f>C7^2*PI()/4*C8</f>
        <v>457.9656690770521</v>
      </c>
      <c r="D11" t="s">
        <v>9</v>
      </c>
      <c r="G11">
        <v>6</v>
      </c>
      <c r="H11">
        <v>11.1</v>
      </c>
      <c r="I11">
        <v>15.4</v>
      </c>
      <c r="J11">
        <v>86</v>
      </c>
      <c r="K11">
        <f t="shared" si="1"/>
        <v>2.7848333333333333</v>
      </c>
      <c r="L11">
        <f t="shared" si="0"/>
        <v>1.49823748305</v>
      </c>
      <c r="M11">
        <f t="shared" si="2"/>
        <v>1.2865958502833332</v>
      </c>
      <c r="N11">
        <v>53</v>
      </c>
      <c r="O11">
        <f t="shared" si="3"/>
        <v>0.8833333333333333</v>
      </c>
    </row>
    <row r="12" spans="2:15">
      <c r="B12" t="s">
        <v>11</v>
      </c>
      <c r="C12">
        <f>C10*C4/1000</f>
        <v>0.65063250000000006</v>
      </c>
      <c r="D12" t="s">
        <v>15</v>
      </c>
      <c r="G12">
        <v>7</v>
      </c>
      <c r="H12">
        <v>10.8</v>
      </c>
      <c r="I12">
        <v>15.4</v>
      </c>
      <c r="J12">
        <v>92</v>
      </c>
      <c r="K12">
        <f t="shared" si="1"/>
        <v>2.8104999999999998</v>
      </c>
      <c r="L12">
        <f t="shared" si="0"/>
        <v>0.99882498870000014</v>
      </c>
      <c r="M12">
        <f t="shared" si="2"/>
        <v>1.8116750112999997</v>
      </c>
      <c r="N12">
        <v>61</v>
      </c>
      <c r="O12">
        <f t="shared" si="3"/>
        <v>1.0166666666666666</v>
      </c>
    </row>
    <row r="13" spans="2:15">
      <c r="B13" t="s">
        <v>12</v>
      </c>
      <c r="C13">
        <f>C11*C4/1000</f>
        <v>1.2365073065080407</v>
      </c>
      <c r="D13" t="s">
        <v>15</v>
      </c>
      <c r="G13">
        <v>7.75</v>
      </c>
      <c r="H13">
        <v>10.9</v>
      </c>
      <c r="I13">
        <v>15.4</v>
      </c>
      <c r="J13">
        <v>97</v>
      </c>
      <c r="K13">
        <f>(H12*I12+H13*I13)/2/60*0.75</f>
        <v>2.0886250000000004</v>
      </c>
      <c r="L13">
        <f t="shared" si="0"/>
        <v>0.83235415725000006</v>
      </c>
      <c r="M13">
        <f t="shared" si="2"/>
        <v>1.2562708427500002</v>
      </c>
      <c r="N13">
        <v>67</v>
      </c>
      <c r="O13">
        <f>N13/60*0.75</f>
        <v>0.83750000000000002</v>
      </c>
    </row>
    <row r="15" spans="2:15">
      <c r="B15" t="s">
        <v>21</v>
      </c>
      <c r="C15">
        <v>80</v>
      </c>
      <c r="D15" t="s">
        <v>13</v>
      </c>
      <c r="K15">
        <f>SUM(K6:K13)</f>
        <v>22.801625000000001</v>
      </c>
      <c r="L15">
        <f>SUM(L6:L13)</f>
        <v>12.818254021650002</v>
      </c>
      <c r="M15">
        <f>SUM(M6:M13)</f>
        <v>9.9833709783499991</v>
      </c>
    </row>
    <row r="17" spans="2:15">
      <c r="B17" t="s">
        <v>14</v>
      </c>
      <c r="C17">
        <f>C15*C3*C12*C2</f>
        <v>13.317666516000001</v>
      </c>
      <c r="D17" t="s">
        <v>17</v>
      </c>
      <c r="G17" s="4" t="s">
        <v>37</v>
      </c>
      <c r="H17" s="4"/>
      <c r="I17" s="4"/>
      <c r="J17" s="4"/>
      <c r="K17" s="4"/>
      <c r="L17" s="4"/>
      <c r="M17" s="4"/>
      <c r="N17" s="4"/>
      <c r="O17" s="4"/>
    </row>
    <row r="18" spans="2:15">
      <c r="B18" t="s">
        <v>16</v>
      </c>
      <c r="C18">
        <f>C15*C13*C3*C2</f>
        <v>25.309820755451785</v>
      </c>
      <c r="D18" t="s">
        <v>17</v>
      </c>
      <c r="G18" s="4"/>
      <c r="H18" s="4"/>
      <c r="I18" s="4"/>
      <c r="J18" s="4"/>
      <c r="K18" s="4"/>
      <c r="L18" s="4"/>
      <c r="M18" s="4"/>
      <c r="N18" s="4"/>
      <c r="O18" s="4"/>
    </row>
    <row r="19" spans="2:15">
      <c r="G19" s="4"/>
      <c r="H19" s="4"/>
      <c r="I19" s="4"/>
      <c r="J19" s="4"/>
      <c r="K19" s="4"/>
      <c r="L19" s="4"/>
      <c r="M19" s="4"/>
      <c r="N19" s="4"/>
      <c r="O19" s="4"/>
    </row>
    <row r="20" spans="2:15">
      <c r="B20" t="s">
        <v>18</v>
      </c>
      <c r="C20">
        <f>C17*6</f>
        <v>79.905999096000002</v>
      </c>
      <c r="G20" s="4"/>
      <c r="H20" s="4"/>
      <c r="I20" s="4"/>
      <c r="J20" s="4"/>
      <c r="K20" s="4"/>
      <c r="L20" s="4"/>
      <c r="M20" s="4"/>
      <c r="N20" s="4"/>
      <c r="O20" s="4"/>
    </row>
    <row r="21" spans="2:15">
      <c r="B21" t="s">
        <v>19</v>
      </c>
      <c r="C21">
        <f>C18*6</f>
        <v>151.85892453271072</v>
      </c>
      <c r="G21" s="4"/>
      <c r="H21" s="4"/>
      <c r="I21" s="4"/>
      <c r="J21" s="4"/>
      <c r="K21" s="4"/>
      <c r="L21" s="4"/>
      <c r="M21" s="4"/>
      <c r="N21" s="4"/>
      <c r="O21" s="4"/>
    </row>
    <row r="22" spans="2:15">
      <c r="G22" s="4"/>
      <c r="H22" s="4"/>
      <c r="I22" s="4"/>
      <c r="J22" s="4"/>
      <c r="K22" s="4"/>
      <c r="L22" s="4"/>
      <c r="M22" s="4"/>
      <c r="N22" s="4"/>
      <c r="O22" s="4"/>
    </row>
    <row r="23" spans="2:15">
      <c r="G23" s="4"/>
      <c r="H23" s="4"/>
      <c r="I23" s="4"/>
      <c r="J23" s="4"/>
      <c r="K23" s="4"/>
      <c r="L23" s="4"/>
      <c r="M23" s="4"/>
      <c r="N23" s="4"/>
      <c r="O23" s="4"/>
    </row>
    <row r="29" spans="2:15">
      <c r="B29" t="s">
        <v>38</v>
      </c>
    </row>
    <row r="30" spans="2:15">
      <c r="B30" t="s">
        <v>39</v>
      </c>
      <c r="C30">
        <v>35</v>
      </c>
      <c r="D30" t="s">
        <v>5</v>
      </c>
    </row>
    <row r="31" spans="2:15">
      <c r="B31" t="s">
        <v>40</v>
      </c>
      <c r="C31">
        <f>C30^2*PI()/4</f>
        <v>962.11275016187415</v>
      </c>
      <c r="D31" t="s">
        <v>43</v>
      </c>
    </row>
    <row r="32" spans="2:15">
      <c r="B32" t="s">
        <v>41</v>
      </c>
      <c r="C32">
        <v>0.47599999999999998</v>
      </c>
      <c r="D32" t="s">
        <v>5</v>
      </c>
    </row>
    <row r="33" spans="2:7">
      <c r="B33" t="s">
        <v>42</v>
      </c>
      <c r="C33">
        <v>0.63500000000000001</v>
      </c>
      <c r="D33" t="s">
        <v>5</v>
      </c>
    </row>
    <row r="34" spans="2:7">
      <c r="B34" t="s">
        <v>44</v>
      </c>
      <c r="C34">
        <f>C31*C32*C4</f>
        <v>1236.5073065080408</v>
      </c>
      <c r="D34" t="s">
        <v>46</v>
      </c>
    </row>
    <row r="35" spans="2:7">
      <c r="B35" t="s">
        <v>45</v>
      </c>
      <c r="C35">
        <f>C31*C33*C4</f>
        <v>1649.5423101525332</v>
      </c>
      <c r="D35" t="s">
        <v>46</v>
      </c>
    </row>
    <row r="36" spans="2:7">
      <c r="B36" t="s">
        <v>47</v>
      </c>
      <c r="C36">
        <f>90*C3*C2*C34/1000</f>
        <v>28.473548349883259</v>
      </c>
      <c r="D36" t="s">
        <v>17</v>
      </c>
      <c r="F36" s="1"/>
    </row>
    <row r="37" spans="2:7">
      <c r="B37" t="s">
        <v>48</v>
      </c>
      <c r="C37">
        <f>90*C35*C3*C2/1000</f>
        <v>37.984670592806445</v>
      </c>
      <c r="D37" t="s">
        <v>17</v>
      </c>
    </row>
    <row r="39" spans="2:7">
      <c r="B39" t="s">
        <v>49</v>
      </c>
      <c r="C39">
        <v>0</v>
      </c>
    </row>
    <row r="40" spans="2:7">
      <c r="B40" t="s">
        <v>50</v>
      </c>
      <c r="C40">
        <v>40</v>
      </c>
      <c r="D40" t="s">
        <v>51</v>
      </c>
    </row>
    <row r="41" spans="2:7">
      <c r="B41" t="s">
        <v>52</v>
      </c>
      <c r="C41">
        <v>91</v>
      </c>
      <c r="D41" t="s">
        <v>51</v>
      </c>
      <c r="F41" t="s">
        <v>76</v>
      </c>
      <c r="G41" t="s">
        <v>77</v>
      </c>
    </row>
    <row r="42" spans="2:7">
      <c r="B42" t="s">
        <v>53</v>
      </c>
      <c r="C42">
        <v>157</v>
      </c>
      <c r="D42" t="s">
        <v>51</v>
      </c>
      <c r="E42" t="s">
        <v>55</v>
      </c>
      <c r="F42">
        <f>C42/0.75</f>
        <v>209.33333333333334</v>
      </c>
      <c r="G42">
        <f>C42/0.5</f>
        <v>314</v>
      </c>
    </row>
    <row r="43" spans="2:7" ht="30">
      <c r="B43" s="1" t="s">
        <v>54</v>
      </c>
      <c r="C43">
        <f>((C40+C39)/2+(C41-C40)/2+(C42-C41)/2+C42*2/3)/6</f>
        <v>30.527777777777782</v>
      </c>
      <c r="D43" t="s">
        <v>17</v>
      </c>
    </row>
    <row r="45" spans="2:7">
      <c r="B45" t="s">
        <v>56</v>
      </c>
      <c r="C45">
        <f>C43+C36</f>
        <v>59.001326127661045</v>
      </c>
      <c r="D45" t="s">
        <v>17</v>
      </c>
    </row>
    <row r="46" spans="2:7">
      <c r="B46" t="s">
        <v>57</v>
      </c>
      <c r="C46">
        <f>C43+C37</f>
        <v>68.512448370584224</v>
      </c>
      <c r="D46" t="s">
        <v>17</v>
      </c>
    </row>
    <row r="48" spans="2:7">
      <c r="B48" t="s">
        <v>59</v>
      </c>
      <c r="C48" s="2">
        <v>1.6800000000000002E-8</v>
      </c>
      <c r="D48" s="2"/>
    </row>
    <row r="49" spans="2:7">
      <c r="B49" t="s">
        <v>58</v>
      </c>
      <c r="C49">
        <v>6.7999999999999996E-3</v>
      </c>
    </row>
    <row r="50" spans="2:7">
      <c r="B50" t="s">
        <v>96</v>
      </c>
      <c r="C50">
        <v>4.0000000000000002E-4</v>
      </c>
    </row>
    <row r="51" spans="2:7">
      <c r="B51" t="s">
        <v>60</v>
      </c>
      <c r="C51">
        <v>1</v>
      </c>
      <c r="D51">
        <f>C50</f>
        <v>4.0000000000000002E-4</v>
      </c>
    </row>
    <row r="52" spans="2:7">
      <c r="B52" t="s">
        <v>61</v>
      </c>
      <c r="C52">
        <f>1/(1+$D$51*30)</f>
        <v>0.98814229249011853</v>
      </c>
    </row>
    <row r="53" spans="2:7">
      <c r="B53" t="s">
        <v>62</v>
      </c>
      <c r="C53">
        <f>1/(1+$D$51*60)</f>
        <v>0.9765625</v>
      </c>
    </row>
    <row r="54" spans="2:7">
      <c r="B54" t="s">
        <v>63</v>
      </c>
      <c r="C54">
        <f>1/(1+$D$51*90)</f>
        <v>0.96525096525096521</v>
      </c>
    </row>
    <row r="55" spans="2:7">
      <c r="B55" t="s">
        <v>90</v>
      </c>
      <c r="C55">
        <f>1/(1+$D$51*200)</f>
        <v>0.92592592592592582</v>
      </c>
    </row>
    <row r="56" spans="2:7">
      <c r="B56" t="s">
        <v>69</v>
      </c>
    </row>
    <row r="57" spans="2:7">
      <c r="B57" t="s">
        <v>66</v>
      </c>
      <c r="C57">
        <v>0.47599999999999998</v>
      </c>
    </row>
    <row r="58" spans="2:7">
      <c r="B58" t="s">
        <v>67</v>
      </c>
      <c r="C58">
        <v>250</v>
      </c>
    </row>
    <row r="59" spans="2:7">
      <c r="B59" t="s">
        <v>75</v>
      </c>
      <c r="C59">
        <f>C$58*C$54</f>
        <v>241.31274131274131</v>
      </c>
    </row>
    <row r="60" spans="2:7">
      <c r="C60" t="s">
        <v>65</v>
      </c>
      <c r="D60" t="s">
        <v>68</v>
      </c>
      <c r="E60" t="s">
        <v>70</v>
      </c>
      <c r="F60" t="s">
        <v>71</v>
      </c>
      <c r="G60" t="s">
        <v>23</v>
      </c>
    </row>
    <row r="61" spans="2:7">
      <c r="B61" t="s">
        <v>64</v>
      </c>
      <c r="C61">
        <f>30*C$57*C$31*C$4*C$3*C$2/1000</f>
        <v>9.491182783294418</v>
      </c>
      <c r="D61">
        <f>(C40+C39)/2</f>
        <v>20</v>
      </c>
      <c r="E61">
        <f>C$58*(C51+C52)/2</f>
        <v>248.51778656126484</v>
      </c>
      <c r="F61">
        <f>E61-D61</f>
        <v>228.51778656126484</v>
      </c>
      <c r="G61">
        <f>C61/F61*60</f>
        <v>2.492020317398759</v>
      </c>
    </row>
    <row r="62" spans="2:7">
      <c r="B62" t="s">
        <v>72</v>
      </c>
      <c r="C62">
        <f t="shared" ref="C62:C63" si="4">30*C$57*C$31*C$4*C$3*C$2/1000</f>
        <v>9.491182783294418</v>
      </c>
      <c r="D62">
        <f>(C41+C40)/2</f>
        <v>65.5</v>
      </c>
      <c r="E62">
        <f>C$58*(C52+C53)/2</f>
        <v>245.58809906126484</v>
      </c>
      <c r="F62">
        <f>E62-D62</f>
        <v>180.08809906126484</v>
      </c>
      <c r="G62">
        <f t="shared" ref="G62:G63" si="5">C62/F62*60</f>
        <v>3.1621798995386952</v>
      </c>
    </row>
    <row r="63" spans="2:7">
      <c r="B63" t="s">
        <v>73</v>
      </c>
      <c r="C63">
        <f t="shared" si="4"/>
        <v>9.491182783294418</v>
      </c>
      <c r="D63">
        <f>(C42+C41)/2</f>
        <v>124</v>
      </c>
      <c r="E63">
        <f>C$58*(C53+C54)/2</f>
        <v>242.72668315637063</v>
      </c>
      <c r="F63">
        <f>E63-D63</f>
        <v>118.72668315637063</v>
      </c>
      <c r="G63">
        <f t="shared" si="5"/>
        <v>4.7964867867793082</v>
      </c>
    </row>
    <row r="65" spans="2:7">
      <c r="B65" t="s">
        <v>74</v>
      </c>
      <c r="C65">
        <f>SUM(C61:C63)</f>
        <v>28.473548349883252</v>
      </c>
      <c r="G65">
        <f>SUM(G61:G63)</f>
        <v>10.450687003716762</v>
      </c>
    </row>
    <row r="67" spans="2:7">
      <c r="B67" t="s">
        <v>78</v>
      </c>
      <c r="C67">
        <f>C58*C53</f>
        <v>244.140625</v>
      </c>
    </row>
    <row r="70" spans="2:7">
      <c r="B70" t="s">
        <v>79</v>
      </c>
    </row>
    <row r="72" spans="2:7">
      <c r="B72" t="s">
        <v>80</v>
      </c>
      <c r="C72">
        <v>360</v>
      </c>
    </row>
    <row r="73" spans="2:7">
      <c r="B73" t="s">
        <v>81</v>
      </c>
      <c r="C73">
        <f>C72*0.8</f>
        <v>288</v>
      </c>
    </row>
    <row r="75" spans="2:7">
      <c r="B75" t="s">
        <v>92</v>
      </c>
      <c r="C75">
        <f>C$58</f>
        <v>250</v>
      </c>
    </row>
    <row r="76" spans="2:7">
      <c r="B76" t="s">
        <v>93</v>
      </c>
      <c r="C76">
        <f>C$58*C$53</f>
        <v>244.140625</v>
      </c>
    </row>
    <row r="77" spans="2:7">
      <c r="B77" t="s">
        <v>91</v>
      </c>
      <c r="C77">
        <f>C$58*C$54</f>
        <v>241.31274131274131</v>
      </c>
    </row>
    <row r="78" spans="2:7">
      <c r="B78" t="s">
        <v>94</v>
      </c>
      <c r="C78">
        <v>75</v>
      </c>
    </row>
    <row r="79" spans="2:7">
      <c r="B79" t="s">
        <v>95</v>
      </c>
      <c r="C79">
        <f>C78*(1/(1+$D$51*200))</f>
        <v>69.444444444444443</v>
      </c>
    </row>
    <row r="80" spans="2:7">
      <c r="B80" t="s">
        <v>82</v>
      </c>
      <c r="C80">
        <f>6.3*8</f>
        <v>50.4</v>
      </c>
      <c r="D80" t="s">
        <v>83</v>
      </c>
    </row>
    <row r="82" spans="2:5">
      <c r="D82" t="s">
        <v>85</v>
      </c>
      <c r="E82" t="s">
        <v>86</v>
      </c>
    </row>
    <row r="83" spans="2:5">
      <c r="B83" t="s">
        <v>84</v>
      </c>
      <c r="C83">
        <f>C75</f>
        <v>250</v>
      </c>
      <c r="D83">
        <f>C$72-C83</f>
        <v>110</v>
      </c>
      <c r="E83">
        <f>C$73-C83</f>
        <v>38</v>
      </c>
    </row>
    <row r="84" spans="2:5">
      <c r="B84" t="s">
        <v>87</v>
      </c>
      <c r="C84">
        <f>C76+C78</f>
        <v>319.140625</v>
      </c>
      <c r="D84">
        <f>C$72-C84</f>
        <v>40.859375</v>
      </c>
      <c r="E84">
        <f>C$73-C84</f>
        <v>-31.140625</v>
      </c>
    </row>
    <row r="85" spans="2:5" ht="30">
      <c r="B85" s="1" t="s">
        <v>88</v>
      </c>
      <c r="C85">
        <f>C77+C79+C80</f>
        <v>361.15718575718574</v>
      </c>
      <c r="D85">
        <f>C$72-C85</f>
        <v>-1.1571857571857436</v>
      </c>
      <c r="E85">
        <f>C$73-C85</f>
        <v>-73.157185757185744</v>
      </c>
    </row>
    <row r="87" spans="2:5">
      <c r="B87" t="s">
        <v>89</v>
      </c>
      <c r="C87">
        <f>(C77+C79)*0.75+C80*0.707</f>
        <v>268.70068931788933</v>
      </c>
    </row>
  </sheetData>
  <mergeCells count="2">
    <mergeCell ref="G2:O2"/>
    <mergeCell ref="G17:O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dc:creator>
  <cp:lastModifiedBy>doug</cp:lastModifiedBy>
  <dcterms:created xsi:type="dcterms:W3CDTF">2013-05-25T17:28:38Z</dcterms:created>
  <dcterms:modified xsi:type="dcterms:W3CDTF">2013-05-26T19:56:41Z</dcterms:modified>
</cp:coreProperties>
</file>